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40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<sst xmlns="http://schemas.openxmlformats.org/spreadsheetml/2006/main" count="3789" uniqueCount="2997">
  <si>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</si>
  <si>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</si>
  <si>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</si>
  <si>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</si>
  <si>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</si>
  <si>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</si>
  <si>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</si>
  <si>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</si>
  <si>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</si>
  <si>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</si>
  <si>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</si>
  <si>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</si>
  <si>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</si>
  <si>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</si>
  <si>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</si>
  <si>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</si>
  <si>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</si>
  <si>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</si>
  <si>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</si>
  <si>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</si>
  <si>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</si>
  <si>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</si>
  <si>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</si>
  <si>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</si>
  <si>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</si>
  <si>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</si>
  <si>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</si>
  <si>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</si>
  <si>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</si>
  <si>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</si>
  <si>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</si>
  <si>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</si>
  <si>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</si>
  <si>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</si>
  <si>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</si>
  <si>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</si>
  <si>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</si>
  <si>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</si>
  <si>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</si>
  <si>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</si>
  <si>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</si>
  <si>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</si>
  <si>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</si>
  <si>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</si>
  <si>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</si>
  <si>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</si>
  <si>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</si>
  <si>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</si>
  <si>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</si>
  <si>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</si>
  <si>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</si>
  <si>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</si>
  <si>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</si>
  <si>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</si>
  <si>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</si>
  <si>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</si>
  <si>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</si>
  <si>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</si>
  <si>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</si>
  <si>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</si>
  <si>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</si>
  <si>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</si>
  <si>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</si>
  <si>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</si>
  <si>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</si>
  <si>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</si>
  <si>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</si>
  <si>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</si>
  <si>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</si>
  <si>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</si>
  <si>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</si>
  <si>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</si>
  <si>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</si>
  <si>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</si>
  <si>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</si>
  <si>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</si>
  <si>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</si>
  <si>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</si>
  <si>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</si>
  <si>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</si>
  <si>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</si>
  <si>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</si>
  <si>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</si>
  <si>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</si>
  <si>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</si>
  <si>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</si>
  <si>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</si>
  <si>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</si>
  <si>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</si>
  <si>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</si>
  <si>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</si>
  <si>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</si>
  <si>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</si>
  <si>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</si>
  <si>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</si>
  <si>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</si>
  <si>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</si>
  <si>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</si>
  <si>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</si>
  <si>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</si>
  <si>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</si>
  <si>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</si>
  <si>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</si>
  <si>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</si>
  <si>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</si>
  <si>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</si>
  <si>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</si>
  <si>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</si>
  <si>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</si>
  <si>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</si>
  <si>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</si>
  <si>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</si>
  <si>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</si>
  <si>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</si>
  <si>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</si>
  <si>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</si>
  <si>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</si>
  <si>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</si>
  <si>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</si>
  <si>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</si>
  <si>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</si>
  <si>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</si>
  <si>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</si>
  <si>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</si>
  <si>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</si>
  <si>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</si>
  <si>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</si>
  <si>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</si>
  <si>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</si>
  <si>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</si>
  <si>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</si>
  <si>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</si>
  <si>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</si>
  <si>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</si>
  <si>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</si>
  <si>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</si>
  <si>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</si>
  <si>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</si>
  <si>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</si>
  <si>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</si>
  <si>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</si>
  <si>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</si>
  <si>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</si>
  <si>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</si>
  <si>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</si>
  <si>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</si>
  <si>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</si>
  <si>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</si>
  <si>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</si>
  <si>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</si>
  <si>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</si>
  <si>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</si>
  <si>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</si>
  <si>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</si>
  <si>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</si>
  <si>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</si>
  <si>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</si>
  <si>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</si>
  <si>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</si>
  <si>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</si>
  <si>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</si>
  <si>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</si>
  <si>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</si>
  <si>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</si>
  <si>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</si>
  <si>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</si>
  <si>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</si>
  <si>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</si>
  <si>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</si>
  <si>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</si>
  <si>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</si>
  <si>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</si>
  <si>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</si>
  <si>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</si>
  <si>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</si>
  <si>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</si>
  <si>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</si>
  <si>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</si>
  <si>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</si>
  <si>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</si>
  <si>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</si>
  <si>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</si>
  <si>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</si>
  <si>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</si>
  <si>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</si>
  <si>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</si>
  <si>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</si>
  <si>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</si>
  <si>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</si>
  <si>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</si>
  <si>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</si>
  <si>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</si>
  <si>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</si>
  <si>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</si>
  <si>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</si>
  <si>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</si>
  <si>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</si>
  <si>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</si>
  <si>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</si>
  <si>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</si>
  <si>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</si>
  <si>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</si>
  <si>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</si>
  <si>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</si>
  <si>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</si>
  <si>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</si>
  <si>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</si>
  <si>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</si>
  <si>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</si>
  <si>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</si>
  <si>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</si>
  <si>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</si>
  <si>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</si>
  <si>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</si>
  <si>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</si>
  <si>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</si>
  <si>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</si>
  <si>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</si>
  <si>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</si>
  <si>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</si>
  <si>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</si>
  <si>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</si>
  <si>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</si>
  <si>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</si>
  <si>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</si>
  <si>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</si>
  <si>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</si>
  <si>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</si>
  <si>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</si>
  <si>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</si>
  <si>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</si>
  <si>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</si>
  <si>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</si>
  <si>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</si>
  <si>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</si>
  <si>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</si>
  <si>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</si>
  <si>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</si>
  <si>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</si>
  <si>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</si>
  <si>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</si>
  <si>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</si>
  <si>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</si>
  <si>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</si>
  <si>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</si>
  <si>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</si>
  <si>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</si>
  <si>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</si>
  <si>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</si>
  <si>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</si>
  <si>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</si>
  <si>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</si>
  <si>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</si>
  <si>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</si>
  <si>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</si>
  <si>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</si>
  <si>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</si>
  <si>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</si>
  <si>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</si>
  <si>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</si>
  <si>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</si>
  <si>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</si>
  <si>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</si>
  <si>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</si>
  <si>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</si>
  <si>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</si>
  <si>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</si>
  <si>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</si>
  <si>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</si>
  <si>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</si>
  <si>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</si>
  <si>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</si>
  <si>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</si>
  <si>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</si>
  <si>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</si>
  <si>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</si>
  <si>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</si>
  <si>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</si>
  <si>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</si>
  <si>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</si>
  <si>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</si>
  <si>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</si>
  <si>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</si>
  <si>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</si>
  <si>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</si>
  <si>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</si>
  <si>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</si>
  <si>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</si>
  <si>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</si>
  <si>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</si>
  <si>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</si>
  <si>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</si>
  <si>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</si>
  <si>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</si>
  <si>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</si>
  <si>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</si>
  <si>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</si>
  <si>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</si>
  <si>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</si>
  <si>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</si>
  <si>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</si>
  <si>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</si>
  <si>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</si>
  <si>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</si>
  <si>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</si>
  <si>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</si>
  <si>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</si>
  <si>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</si>
  <si>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</si>
  <si>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</si>
  <si>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</si>
  <si>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</si>
  <si>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</si>
  <si>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</si>
  <si>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</si>
  <si>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</si>
  <si>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</si>
  <si>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</si>
  <si>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</si>
  <si>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</si>
  <si>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</si>
  <si>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</si>
  <si>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</si>
  <si>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</si>
  <si>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</si>
  <si>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</si>
  <si>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</si>
  <si>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</si>
  <si>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</si>
  <si>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</si>
  <si>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</si>
  <si>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</si>
  <si>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</si>
  <si>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</si>
  <si>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</si>
  <si>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</si>
  <si>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</si>
  <si>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</si>
  <si>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</si>
  <si>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</si>
  <si>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</si>
  <si>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</si>
  <si>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</si>
  <si>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</si>
  <si>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</si>
  <si>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</si>
  <si>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</si>
  <si>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</si>
  <si>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</si>
  <si>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</si>
  <si>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</si>
  <si>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</si>
  <si>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</si>
  <si>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</si>
  <si>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</si>
  <si>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</si>
  <si>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</si>
  <si>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</si>
  <si>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</si>
  <si>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</si>
  <si>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</si>
  <si>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</si>
  <si>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</si>
  <si>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</si>
  <si>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</si>
  <si>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</si>
  <si>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</si>
  <si>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</si>
  <si>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</si>
  <si>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</si>
  <si>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</si>
  <si>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</si>
  <si>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</si>
  <si>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</si>
  <si>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</si>
  <si>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</si>
  <si>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</si>
  <si>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</si>
  <si>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</si>
  <si>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</si>
  <si>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</si>
  <si>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</si>
  <si>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</si>
  <si>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</si>
  <si>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</si>
  <si>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</si>
  <si>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</si>
  <si>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</si>
  <si>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</si>
  <si>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</si>
  <si>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</si>
  <si>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</si>
  <si>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</si>
  <si>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</si>
  <si>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</si>
  <si>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</si>
  <si>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</si>
  <si>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</si>
  <si>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</si>
  <si>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</si>
  <si>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</si>
  <si>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</si>
  <si>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</si>
  <si>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</si>
  <si>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</si>
  <si>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</si>
  <si>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</si>
  <si>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</si>
  <si>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</si>
  <si>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</si>
  <si>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</si>
  <si>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</si>
  <si>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</si>
  <si>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</si>
  <si>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</si>
  <si>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</si>
  <si>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</si>
  <si>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</si>
  <si>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</si>
  <si>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</si>
  <si>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</si>
  <si>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</si>
  <si>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</si>
  <si>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</si>
  <si>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</si>
  <si>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</si>
  <si>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</si>
  <si>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</si>
  <si>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</si>
  <si>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</si>
  <si>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</si>
  <si>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</si>
  <si>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</si>
  <si>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</si>
  <si>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</si>
  <si>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</si>
  <si>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</si>
  <si>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</si>
  <si>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</si>
  <si>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</si>
  <si>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</si>
  <si>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</si>
  <si>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</si>
  <si>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</si>
  <si>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</si>
  <si>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</si>
  <si>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</si>
  <si>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</si>
  <si>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</si>
  <si>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</si>
  <si>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</si>
  <si>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</si>
  <si>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</si>
  <si>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</si>
  <si>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</si>
  <si>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</si>
  <si>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</si>
  <si>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</si>
  <si>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</si>
  <si>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</si>
  <si>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</si>
  <si>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</si>
  <si>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</si>
  <si>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</si>
  <si>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</si>
  <si>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</si>
  <si>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</si>
  <si>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</si>
  <si>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</si>
  <si>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</si>
  <si>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</si>
  <si>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</si>
  <si>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</si>
  <si>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</si>
  <si>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</si>
  <si>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</si>
  <si>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</si>
  <si>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</si>
  <si>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</si>
  <si>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</si>
  <si>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</si>
  <si>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</si>
  <si>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</si>
  <si>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</si>
  <si>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</si>
  <si>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</si>
  <si>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</si>
  <si>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</si>
  <si>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</si>
  <si>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</si>
  <si>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</si>
  <si>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</si>
  <si>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</si>
  <si>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</si>
  <si>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</si>
  <si>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</si>
  <si>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</si>
  <si>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</si>
  <si>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</si>
  <si>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</si>
  <si>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</si>
  <si>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</si>
  <si>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</si>
  <si>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</si>
  <si>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</si>
  <si>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</si>
  <si>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</si>
  <si>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</si>
  <si>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</si>
  <si>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</si>
  <si>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</si>
  <si>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</si>
  <si>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</si>
  <si>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</si>
  <si>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</si>
  <si>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</si>
  <si>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</si>
  <si>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</si>
  <si>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</si>
  <si>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</si>
  <si>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</si>
  <si>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</si>
  <si>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</si>
  <si>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</si>
  <si>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</si>
  <si>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</si>
  <si>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</si>
  <si>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</si>
  <si>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</si>
  <si>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</si>
  <si>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</si>
  <si>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</si>
  <si>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</si>
  <si>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</si>
  <si>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</si>
  <si>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</si>
  <si>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</si>
  <si>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</si>
  <si>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</si>
  <si>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</si>
  <si>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</si>
  <si>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</si>
  <si>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</si>
  <si>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</si>
  <si>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</si>
  <si>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</si>
  <si>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</si>
  <si>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</si>
  <si>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</si>
  <si>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</si>
  <si>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</si>
  <si>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</si>
  <si>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</si>
  <si>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</si>
  <si>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</si>
  <si>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</si>
  <si>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</si>
  <si>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</si>
  <si>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</si>
  <si>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</si>
  <si>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</si>
  <si>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</si>
  <si>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</si>
  <si>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</si>
  <si>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</si>
  <si>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</si>
  <si>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</si>
  <si>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</si>
  <si>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</si>
  <si>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</si>
  <si>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</si>
  <si>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</si>
  <si>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</si>
  <si>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</si>
  <si>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</si>
  <si>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</si>
  <si>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</si>
  <si>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</si>
  <si>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</si>
  <si>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</si>
  <si>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</si>
  <si>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</si>
  <si>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</si>
  <si>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</si>
  <si>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</si>
  <si>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</si>
  <si>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</si>
  <si>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</si>
  <si>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</si>
  <si>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</si>
  <si>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</si>
  <si>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</si>
  <si>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</si>
  <si>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</si>
  <si>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</si>
  <si>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</si>
  <si>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</si>
  <si>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</si>
  <si>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</si>
  <si>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</si>
  <si>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</si>
  <si>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</si>
  <si>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</si>
  <si>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</si>
  <si>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</si>
  <si>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</si>
  <si>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</si>
  <si>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</si>
  <si>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</si>
  <si>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</si>
  <si>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</si>
  <si>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</si>
  <si>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</si>
  <si>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</si>
  <si>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</si>
  <si>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</si>
  <si>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</si>
  <si>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</si>
  <si>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</si>
  <si>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</si>
  <si>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</si>
  <si>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</si>
  <si>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</si>
  <si>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</si>
  <si>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</si>
  <si>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</si>
  <si>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</si>
  <si>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</si>
  <si>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</si>
  <si>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</si>
  <si>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</si>
  <si>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</si>
  <si>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</si>
  <si>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</si>
  <si>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</si>
  <si>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</si>
  <si>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</si>
  <si>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</si>
  <si>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</si>
  <si>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</si>
  <si>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</si>
  <si>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</si>
  <si>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</si>
  <si>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</si>
  <si>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</si>
  <si>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</si>
  <si>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</si>
  <si>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</si>
  <si>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</si>
  <si>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</si>
  <si>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</si>
  <si>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</si>
  <si>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</si>
  <si>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</si>
  <si>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</si>
  <si>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</si>
  <si>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</si>
  <si>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</si>
  <si>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</si>
  <si>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</si>
  <si>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</si>
  <si>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</si>
  <si>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</si>
  <si>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</si>
  <si>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</si>
  <si>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</si>
  <si>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</si>
  <si>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</si>
  <si>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</si>
  <si>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</si>
  <si>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</si>
  <si>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</si>
  <si>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</si>
  <si>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</si>
  <si>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</si>
  <si>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</si>
  <si>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</si>
  <si>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</si>
  <si>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</si>
  <si>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</si>
  <si>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</si>
  <si>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</si>
  <si>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</si>
  <si>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</si>
  <si>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</si>
  <si>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</si>
  <si>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</si>
  <si>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</si>
  <si>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</si>
  <si>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</si>
  <si>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</si>
  <si>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</si>
  <si>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</si>
  <si>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</si>
  <si>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</si>
  <si>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</si>
  <si>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</si>
  <si>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</si>
  <si>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</si>
  <si>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</si>
  <si>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</si>
  <si>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</si>
  <si>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</si>
  <si>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</si>
  <si>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</si>
  <si>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</si>
  <si>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</si>
  <si>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</si>
  <si>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</si>
  <si>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</si>
  <si>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</si>
  <si>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</si>
  <si>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</si>
  <si>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</si>
  <si>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</si>
  <si>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</si>
  <si>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</si>
  <si>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</si>
  <si>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</si>
  <si>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</si>
  <si>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</si>
  <si>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</si>
  <si>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</si>
  <si>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</si>
  <si>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</si>
  <si>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</si>
  <si>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</si>
  <si>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</si>
  <si>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</si>
  <si>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</si>
  <si>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</si>
  <si>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</si>
  <si>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</si>
  <si>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</si>
  <si>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</si>
  <si>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</si>
  <si>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</si>
  <si>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</si>
  <si>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</si>
  <si>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</si>
  <si>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</si>
  <si>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</si>
  <si>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</si>
  <si>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</si>
  <si>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</si>
  <si>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</si>
  <si>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</si>
  <si>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</si>
  <si>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</si>
  <si>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</si>
  <si>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</si>
  <si>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</si>
  <si>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</si>
  <si>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</si>
  <si>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</si>
  <si>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</si>
  <si>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</si>
  <si>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</si>
  <si>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</si>
  <si>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</si>
  <si>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</si>
  <si>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</si>
  <si>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</si>
  <si>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</si>
  <si>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</si>
  <si>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</si>
  <si>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</si>
  <si>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</si>
  <si>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</si>
  <si>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</si>
  <si>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</si>
  <si>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</si>
  <si>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</si>
  <si>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</si>
  <si>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</si>
  <si>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</si>
  <si>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</si>
  <si>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</si>
  <si>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</si>
  <si>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</si>
  <si>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</si>
  <si>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</si>
  <si>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</si>
  <si>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</si>
  <si>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</si>
  <si>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</si>
  <si>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</si>
  <si>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</si>
  <si>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</si>
  <si>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</si>
  <si>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</si>
  <si>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</si>
  <si>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</si>
  <si>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</si>
  <si>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</si>
  <si>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</si>
  <si>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</si>
  <si>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</si>
  <si>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</si>
  <si>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</si>
  <si>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</si>
  <si>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</si>
  <si>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</si>
  <si>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</si>
  <si>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</si>
  <si>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</si>
  <si>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</si>
  <si>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</si>
  <si>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</si>
  <si>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</si>
  <si>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</si>
  <si>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</si>
  <si>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</si>
  <si>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</si>
  <si>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</si>
  <si>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</si>
  <si>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</si>
  <si>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</si>
  <si>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</si>
  <si>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</si>
  <si>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</si>
  <si>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</si>
  <si>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</si>
  <si>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</si>
  <si>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</si>
  <si>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</si>
  <si>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</si>
  <si>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</si>
  <si>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</si>
  <si>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</si>
  <si>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</si>
  <si>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</si>
  <si>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</si>
  <si>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</si>
  <si>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</si>
  <si>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</si>
  <si>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</si>
  <si>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</si>
  <si>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</si>
  <si>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</si>
  <si>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</si>
  <si>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</si>
  <si>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</si>
  <si>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</si>
  <si>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</si>
  <si>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</si>
  <si>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</si>
  <si>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</si>
  <si>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</si>
  <si>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</si>
  <si>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</si>
  <si>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</si>
  <si>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</si>
  <si>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</si>
  <si>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</si>
  <si>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</si>
  <si>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</si>
  <si>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</si>
  <si>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</si>
  <si>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</si>
  <si>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</si>
  <si>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</si>
  <si>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</si>
  <si>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</si>
  <si>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</si>
  <si>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</si>
  <si>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</si>
  <si>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</si>
  <si>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</si>
  <si>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</si>
  <si>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</si>
  <si>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</si>
  <si>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</si>
  <si>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</si>
  <si>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</si>
  <si>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</si>
  <si>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</si>
  <si>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</si>
  <si>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</si>
  <si>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</si>
  <si>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</si>
  <si>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</si>
  <si>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</si>
  <si>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</si>
  <si>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</si>
  <si>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</si>
  <si>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</si>
  <si>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</si>
  <si>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</si>
  <si>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</si>
  <si>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</si>
  <si>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</si>
  <si>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</si>
  <si>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</si>
  <si>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</si>
  <si>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</si>
  <si>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</si>
  <si>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</si>
  <si>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</si>
  <si>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</si>
  <si>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</si>
  <si>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</si>
  <si>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</si>
  <si>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</si>
  <si>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</si>
  <si>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</si>
  <si>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</si>
  <si>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</si>
  <si>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</si>
  <si>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</si>
  <si>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</si>
  <si>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</si>
  <si>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</si>
  <si>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</si>
  <si>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</si>
  <si>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</si>
  <si>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</si>
  <si>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</si>
  <si>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</si>
  <si>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</si>
  <si>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</si>
  <si>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</si>
  <si>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</si>
  <si>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</si>
  <si>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</si>
  <si>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</si>
  <si>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</si>
  <si>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</si>
  <si>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</si>
  <si>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</si>
  <si>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</si>
  <si>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</si>
  <si>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</si>
  <si>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</si>
  <si>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</si>
  <si>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</si>
  <si>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</si>
  <si>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</si>
  <si>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</si>
  <si>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</si>
  <si>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</si>
  <si>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</si>
  <si>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</si>
  <si>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</si>
  <si>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</si>
  <si>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</si>
  <si>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</si>
  <si>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</si>
  <si>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</si>
  <si>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</si>
  <si>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</si>
  <si>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</si>
  <si>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</si>
  <si>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</si>
  <si>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</si>
  <si>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</si>
  <si>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</si>
  <si>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</si>
  <si>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</si>
  <si>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</si>
  <si>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</si>
  <si>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</si>
  <si>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</si>
  <si>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</si>
  <si>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</si>
  <si>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</si>
  <si>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</si>
  <si>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</si>
  <si>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</si>
  <si>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</si>
  <si>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</si>
  <si>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</si>
  <si>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</si>
  <si>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</si>
  <si>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</si>
  <si>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</si>
  <si>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</si>
  <si>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</si>
  <si>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</si>
  <si>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</si>
  <si>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</si>
  <si>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</si>
  <si>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</si>
  <si>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</si>
  <si>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</si>
  <si>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</si>
  <si>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</si>
  <si>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</si>
  <si>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</si>
  <si>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</si>
  <si>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</si>
  <si>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</si>
  <si>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</si>
  <si>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</si>
  <si>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</si>
  <si>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</si>
  <si>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</si>
  <si>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</si>
  <si>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</si>
  <si>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</si>
  <si>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</si>
  <si>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</si>
  <si>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</si>
  <si>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</si>
  <si>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</si>
  <si>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</si>
  <si>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</si>
  <si>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</si>
  <si>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</si>
  <si>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</si>
  <si>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</si>
  <si>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</si>
  <si>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</si>
  <si>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</si>
  <si>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</si>
  <si>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</si>
  <si>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</si>
  <si>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</si>
  <si>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</si>
  <si>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</si>
  <si>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</si>
  <si>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</si>
  <si>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</si>
  <si>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</si>
  <si>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</si>
  <si>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</si>
  <si>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</si>
  <si>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</si>
  <si>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</si>
  <si>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</si>
  <si>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</si>
  <si>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</si>
  <si>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</si>
  <si>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</si>
  <si>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</si>
  <si>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</si>
  <si>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</si>
  <si>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</si>
  <si>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</si>
  <si>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</si>
  <si>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</si>
  <si>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</si>
  <si>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</si>
  <si>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</si>
  <si>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</si>
  <si>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</si>
  <si>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</si>
  <si>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</si>
  <si>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</si>
  <si>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</si>
  <si>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</si>
  <si>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</si>
  <si>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</si>
  <si>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</si>
  <si>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</si>
  <si>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</si>
  <si>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</si>
  <si>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</si>
  <si>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</si>
  <si>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</si>
  <si>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</si>
  <si>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</si>
  <si>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</si>
  <si>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</si>
  <si>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</si>
  <si>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</si>
  <si>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</si>
  <si>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</si>
  <si>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</si>
  <si>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</si>
  <si>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</si>
  <si>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</si>
  <si>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</si>
  <si>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</si>
  <si>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</si>
  <si>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</si>
  <si>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</si>
  <si>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</si>
  <si>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</si>
  <si>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</si>
  <si>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</si>
  <si>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</si>
  <si>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</si>
  <si>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</si>
  <si>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</si>
  <si>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</si>
  <si>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</si>
  <si>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</si>
  <si>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</si>
  <si>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</si>
  <si>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</si>
  <si>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</si>
  <si>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</si>
  <si>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</si>
  <si>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</si>
  <si>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</si>
  <si>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</si>
  <si>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</si>
  <si>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</si>
  <si>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</si>
  <si>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</si>
  <si>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</si>
  <si>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</si>
  <si>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</si>
  <si>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</si>
  <si>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</si>
  <si>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</si>
  <si>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</si>
  <si>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</si>
  <si>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</si>
  <si>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</si>
  <si>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</si>
  <si>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</si>
  <si>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</si>
  <si>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</si>
  <si>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</si>
  <si>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</si>
  <si>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</si>
  <si>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</si>
  <si>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</si>
  <si>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</si>
  <si>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</si>
  <si>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</si>
  <si>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</si>
  <si>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</si>
  <si>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</si>
  <si>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</si>
  <si>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</si>
  <si>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</si>
  <si>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</si>
  <si>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</si>
  <si>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</si>
  <si>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</si>
  <si>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</si>
  <si>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</si>
  <si>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</si>
  <si>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</si>
  <si>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</si>
  <si>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</si>
  <si>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</si>
  <si>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</si>
  <si>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</si>
  <si>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</si>
  <si>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</si>
  <si>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</si>
  <si>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</si>
  <si>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</si>
  <si>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</si>
  <si>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</si>
  <si>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</si>
  <si>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</si>
  <si>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</si>
  <si>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</si>
  <si>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</si>
  <si>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</si>
  <si>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</si>
  <si>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</si>
  <si>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</si>
  <si>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</si>
  <si>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</si>
  <si>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</si>
  <si>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</si>
  <si>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</si>
  <si>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</si>
  <si>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</si>
  <si>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</si>
  <si>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</si>
  <si>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</si>
  <si>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</si>
  <si>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</si>
  <si>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</si>
  <si>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</si>
  <si>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</si>
  <si>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</si>
  <si>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</si>
  <si>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</si>
  <si>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</si>
  <si>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</si>
  <si>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</si>
  <si>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</si>
  <si>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</si>
  <si>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</si>
  <si>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</si>
  <si>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</si>
  <si>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</si>
  <si>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</si>
  <si>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</si>
  <si>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</si>
  <si>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</si>
  <si>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</si>
  <si>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</si>
  <si>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</si>
  <si>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</si>
  <si>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</si>
  <si>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</si>
  <si>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</si>
  <si>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</si>
  <si>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</si>
  <si>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</si>
  <si>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</si>
  <si>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</si>
  <si>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</si>
  <si>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</si>
  <si>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</si>
  <si>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</si>
  <si>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</si>
  <si>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</si>
  <si>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</si>
  <si>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</si>
  <si>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</si>
  <si>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</si>
  <si>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</si>
  <si>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</si>
  <si>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</si>
  <si>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</si>
  <si>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</si>
  <si>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</si>
  <si>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</si>
  <si>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</si>
  <si>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</si>
  <si>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</si>
  <si>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</si>
  <si>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</si>
  <si>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</si>
  <si>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</si>
  <si>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</si>
  <si>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</si>
  <si>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</si>
  <si>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</si>
  <si>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</si>
  <si>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</si>
  <si>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</si>
  <si>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</si>
  <si>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</si>
  <si>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</si>
  <si>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</si>
  <si>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</si>
  <si>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</si>
  <si>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</si>
  <si>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</si>
  <si>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</si>
  <si>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</si>
  <si>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</si>
  <si>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</si>
  <si>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</si>
  <si>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</si>
  <si>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</si>
  <si>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</si>
  <si>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</si>
  <si>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</si>
  <si>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</si>
  <si>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</si>
  <si>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</si>
  <si>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</si>
  <si>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</si>
  <si>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</si>
  <si>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</si>
  <si>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</si>
  <si>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</si>
  <si>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</si>
  <si>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</si>
  <si>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</si>
  <si>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</si>
  <si>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</si>
  <si>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</si>
  <si>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</si>
  <si>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</si>
  <si>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</si>
  <si>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</si>
  <si>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</si>
  <si>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</si>
  <si>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</si>
  <si>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</si>
  <si>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</si>
  <si>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</si>
  <si>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</si>
  <si>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</si>
  <si>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</si>
  <si>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</si>
  <si>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</si>
  <si>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</si>
  <si>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</si>
  <si>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</si>
  <si>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</si>
  <si>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</si>
  <si>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</si>
  <si>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</si>
  <si>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</si>
  <si>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</si>
  <si>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</si>
  <si>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</si>
  <si>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</si>
  <si>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</si>
  <si>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</si>
  <si>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</si>
  <si>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</si>
  <si>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</si>
  <si>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</si>
  <si>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</si>
  <si>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</si>
  <si>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</si>
  <si>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</si>
  <si>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</si>
  <si>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</si>
  <si>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</si>
  <si>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</si>
  <si>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</si>
  <si>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</si>
  <si>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</si>
  <si>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</si>
  <si>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</si>
  <si>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</si>
  <si>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</si>
  <si>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</si>
  <si>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</si>
  <si>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</si>
  <si>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</si>
  <si>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</si>
  <si>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</si>
  <si>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</si>
  <si>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</si>
  <si>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</si>
  <si>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</si>
  <si>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</si>
  <si>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</si>
  <si>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</si>
  <si>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</si>
  <si>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</si>
  <si>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</si>
  <si>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</si>
  <si>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</si>
  <si>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</si>
  <si>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</si>
  <si>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</si>
  <si>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</si>
  <si>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</si>
  <si>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</si>
  <si>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</si>
  <si>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</si>
  <si>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</si>
  <si>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</si>
  <si>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</si>
  <si>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</si>
  <si>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</si>
  <si>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</si>
  <si>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</si>
  <si>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</si>
  <si>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</si>
  <si>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</si>
  <si>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</si>
  <si>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</si>
  <si>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</si>
  <si>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</si>
  <si>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</si>
  <si>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</si>
  <si>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</si>
  <si>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</si>
  <si>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</si>
  <si>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</si>
  <si>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</si>
  <si>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</si>
  <si>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</si>
  <si>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</si>
  <si>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</si>
  <si>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</si>
  <si>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</si>
  <si>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</si>
  <si>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</si>
  <si>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</si>
  <si>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</si>
  <si>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</si>
  <si>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</si>
  <si>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</si>
  <si>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</si>
  <si>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</si>
  <si>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</si>
  <si>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</si>
  <si>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</si>
  <si>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</si>
  <si>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</si>
  <si>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</si>
  <si>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</si>
  <si>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</si>
  <si>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</si>
  <si>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</si>
  <si>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</si>
  <si>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</si>
  <si>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</si>
  <si>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</si>
  <si>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</si>
  <si>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</si>
  <si>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</si>
  <si>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</si>
  <si>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</si>
  <si>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</si>
  <si>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</si>
  <si>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</si>
  <si>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</si>
  <si>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</si>
  <si>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</si>
  <si>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</si>
  <si>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</si>
  <si>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</si>
  <si>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</si>
  <si>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</si>
  <si>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</si>
  <si>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</si>
  <si>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</si>
  <si>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</si>
  <si>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</si>
  <si>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</si>
  <si>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</si>
  <si>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</si>
  <si>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</si>
  <si>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</si>
  <si>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</si>
  <si>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</si>
  <si>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</si>
  <si>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</si>
  <si>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</si>
  <si>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</si>
  <si>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</si>
  <si>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</si>
  <si>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</si>
  <si>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</si>
  <si>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</si>
  <si>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</si>
  <si>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</si>
  <si>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</si>
  <si>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</si>
  <si>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</si>
  <si>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</si>
  <si>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</si>
  <si>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</si>
  <si>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</si>
  <si>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</si>
  <si>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</si>
  <si>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</si>
  <si>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</si>
  <si>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</si>
  <si>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</si>
  <si>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</si>
  <si>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</si>
  <si>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</si>
  <si>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</si>
  <si>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</si>
  <si>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</si>
  <si>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</si>
  <si>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</si>
  <si>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</si>
  <si>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</si>
  <si>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</si>
  <si>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</si>
  <si>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</si>
  <si>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</si>
  <si>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</si>
  <si>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</si>
  <si>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</si>
  <si>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</si>
  <si>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</si>
  <si>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</si>
  <si>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</si>
  <si>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</si>
  <si>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</si>
  <si>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</si>
  <si>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</si>
  <si>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</si>
  <si>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</si>
  <si>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</si>
  <si>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</si>
  <si>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</si>
  <si>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</si>
  <si>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</si>
  <si>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</si>
  <si>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</si>
  <si>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</si>
  <si>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</si>
  <si>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</si>
  <si>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</si>
  <si>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</si>
  <si>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</si>
  <si>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</si>
  <si>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</si>
  <si>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</si>
  <si>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</si>
  <si>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</si>
  <si>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</si>
  <si>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</si>
  <si>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</si>
  <si>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</si>
  <si>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</si>
  <si>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</si>
  <si>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</si>
  <si>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</si>
  <si>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</si>
  <si>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</si>
  <si>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</si>
  <si>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</si>
  <si>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</si>
  <si>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</si>
  <si>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</si>
  <si>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</si>
  <si>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</si>
  <si>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</si>
  <si>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</si>
  <si>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</si>
  <si>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</si>
  <si>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</si>
  <si>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</si>
  <si>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</si>
  <si>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</si>
  <si>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</si>
  <si>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</si>
  <si>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</si>
  <si>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</si>
  <si>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</si>
  <si>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</si>
  <si>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</si>
  <si>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</si>
  <si>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</si>
  <si>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</si>
  <si>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</si>
  <si>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</si>
  <si>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</si>
  <si>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</si>
  <si>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</si>
  <si>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</si>
  <si>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</si>
  <si>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</si>
  <si>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</si>
  <si>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</si>
  <si>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</si>
  <si>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</si>
  <si>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</si>
  <si>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</si>
  <si>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</si>
  <si>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</si>
  <si>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</si>
  <si>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</si>
  <si>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</si>
  <si>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</si>
  <si>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</si>
  <si>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</si>
  <si>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</si>
  <si>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</si>
  <si>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</si>
  <si>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</si>
  <si>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</si>
  <si>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</si>
  <si>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</si>
  <si>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</si>
  <si>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</si>
  <si>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</si>
  <si>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</si>
  <si>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</si>
  <si>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</si>
  <si>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</si>
  <si>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</si>
  <si>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</si>
  <si>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</si>
  <si>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</si>
  <si>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</si>
  <si>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</si>
  <si>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</si>
  <si>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</si>
  <si>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</si>
  <si>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</si>
  <si>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</si>
  <si>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</si>
  <si>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</si>
  <si>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</si>
  <si>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</si>
  <si>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</si>
  <si>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</si>
  <si>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</si>
  <si>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</si>
  <si>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</si>
  <si>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</si>
  <si>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</si>
  <si>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</si>
  <si>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</si>
  <si>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</si>
  <si>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</si>
  <si>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</si>
  <si>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</si>
  <si>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</si>
  <si>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</si>
  <si>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</si>
  <si>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</si>
  <si>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</si>
  <si>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</si>
  <si>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</si>
  <si>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</si>
  <si>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</si>
  <si>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</si>
  <si>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</si>
  <si>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</si>
  <si>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</si>
  <si>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</si>
  <si>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</si>
  <si>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</si>
  <si>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</si>
  <si>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</si>
  <si>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</si>
  <si>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</si>
  <si>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</si>
  <si>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</si>
  <si>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</si>
  <si>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</si>
  <si>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</si>
  <si>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</si>
  <si>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</si>
  <si>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</si>
  <si>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</si>
  <si>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</si>
  <si>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</si>
  <si>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</si>
  <si>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</si>
  <si>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</si>
  <si>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</si>
  <si>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</si>
  <si>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</si>
  <si>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</si>
  <si>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</si>
  <si>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</si>
  <si>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</si>
  <si>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</si>
  <si>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</si>
  <si>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</si>
  <si>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</si>
  <si>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</si>
  <si>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</si>
  <si>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</si>
  <si>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</si>
  <si>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</si>
  <si>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</si>
  <si>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</si>
  <si>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</si>
  <si>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</si>
  <si>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</si>
  <si>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</si>
  <si>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</si>
  <si>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</si>
  <si>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</si>
  <si>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</si>
  <si>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</si>
  <si>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</si>
  <si>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</si>
  <si>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</si>
  <si>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</si>
  <si>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</si>
  <si>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</si>
  <si>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</si>
  <si>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</si>
  <si>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</si>
  <si>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</si>
  <si>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</si>
  <si>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</si>
  <si>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</si>
  <si>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</si>
  <si>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</si>
  <si>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</si>
  <si>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</si>
  <si>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</si>
  <si>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</si>
  <si>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</si>
  <si>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</si>
  <si>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</si>
  <si>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</si>
  <si>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</si>
  <si>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</si>
  <si>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</si>
  <si>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</si>
  <si>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</si>
  <si>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</si>
  <si>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</si>
  <si>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</si>
  <si>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</si>
  <si>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</si>
  <si>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</si>
  <si>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</si>
  <si>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</si>
  <si>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</si>
  <si>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</si>
  <si>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</si>
  <si>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</si>
  <si>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</si>
  <si>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</si>
  <si>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</si>
  <si>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</si>
  <si>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</si>
  <si>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</si>
  <si>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</si>
  <si>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</si>
  <si>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</si>
  <si>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</si>
  <si>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</si>
  <si>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</si>
  <si>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</si>
  <si>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</si>
  <si>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</si>
  <si>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</si>
  <si>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</si>
  <si>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</si>
  <si>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</si>
  <si>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</si>
  <si>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</si>
  <si>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</si>
  <si>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</si>
  <si>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</si>
  <si>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</si>
  <si>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</si>
  <si>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</si>
  <si>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</si>
  <si>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</si>
  <si>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</si>
  <si>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</si>
  <si>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</si>
  <si>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</si>
  <si>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</si>
  <si>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</si>
  <si>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</si>
  <si>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</si>
  <si>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</si>
  <si>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</si>
  <si>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</si>
  <si>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</si>
  <si>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</si>
  <si>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</si>
  <si>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</si>
  <si>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</si>
  <si>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</si>
  <si>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</si>
  <si>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</si>
  <si>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</si>
  <si>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</si>
  <si>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</si>
  <si>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</si>
  <si>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</si>
  <si>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</si>
  <si>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</si>
  <si>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</si>
  <si>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</si>
  <si>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</si>
  <si>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</si>
  <si>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</si>
  <si>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</si>
  <si>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</si>
  <si>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</si>
  <si>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</si>
  <si>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</si>
  <si>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</si>
  <si>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</si>
  <si>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</si>
  <si>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</si>
  <si>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</si>
  <si>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</si>
  <si>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</si>
  <si>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</si>
  <si>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</si>
  <si>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</si>
  <si>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</si>
  <si>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</si>
  <si>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</si>
  <si>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</si>
  <si>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</si>
  <si>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</si>
  <si>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</si>
  <si>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</si>
  <si>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</si>
  <si>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</si>
  <si>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</si>
  <si>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</si>
  <si>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</si>
  <si>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</si>
  <si>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</si>
  <si>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</si>
  <si>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</si>
  <si>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</si>
  <si>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</si>
  <si>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</si>
  <si>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</si>
  <si>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</si>
  <si>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</si>
  <si>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</si>
  <si>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</si>
  <si>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</si>
  <si>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</si>
  <si>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</si>
  <si>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</si>
  <si>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</si>
  <si>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</si>
  <si>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</si>
  <si>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</si>
  <si>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</si>
  <si>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</si>
  <si>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</si>
  <si>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</si>
  <si>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</si>
  <si>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</si>
  <si>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</si>
  <si>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</si>
  <si>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</si>
  <si>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</si>
  <si>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</si>
  <si>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</si>
  <si>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</si>
  <si>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</si>
  <si>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</si>
  <si>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</si>
  <si>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</si>
  <si>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</si>
  <si>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</si>
  <si>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</si>
  <si>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</si>
  <si>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</si>
  <si>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</si>
  <si>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</si>
  <si>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</si>
  <si>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</si>
  <si>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</si>
  <si>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</si>
  <si>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</si>
  <si>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</si>
  <si>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</si>
  <si>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</si>
  <si>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</si>
  <si>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</si>
  <si>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</si>
  <si>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</si>
  <si>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</si>
  <si>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</si>
  <si>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</si>
  <si>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</si>
  <si>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</si>
  <si>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</si>
  <si>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</si>
  <si>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</si>
  <si>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</si>
  <si>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</si>
  <si>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</si>
  <si>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</si>
  <si>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</si>
  <si>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</si>
  <si>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</si>
  <si>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</si>
  <si>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</si>
  <si>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</si>
  <si>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</si>
  <si>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</si>
  <si>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</si>
  <si>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</si>
  <si>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</si>
  <si>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</si>
  <si>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</si>
  <si>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</si>
  <si>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</si>
  <si>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</si>
  <si>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</si>
  <si>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</si>
  <si>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</si>
  <si>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</si>
  <si>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</si>
  <si>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</si>
  <si>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</si>
  <si>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</si>
  <si>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</si>
  <si>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</si>
  <si>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</si>
  <si>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</si>
  <si>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</si>
  <si>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</si>
  <si>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</si>
  <si>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</si>
  <si>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</si>
  <si>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</si>
  <si>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</si>
  <si>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</si>
  <si>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</si>
  <si>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</si>
  <si>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</si>
  <si>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</si>
  <si>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</si>
  <si>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</si>
  <si>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</si>
  <si>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</si>
  <si>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</si>
  <si>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</si>
  <si>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</si>
  <si>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</si>
  <si>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</si>
  <si>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</si>
  <si>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</si>
  <si>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</si>
  <si>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</si>
  <si>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</si>
  <si>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</si>
  <si>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</si>
  <si>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</si>
  <si>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</si>
  <si>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</si>
  <si>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</si>
  <si>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</si>
  <si>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</si>
  <si>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</si>
  <si>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</si>
  <si>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</si>
  <si>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</si>
  <si>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</si>
  <si>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</si>
  <si>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</si>
  <si>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</si>
  <si>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</si>
  <si>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</si>
  <si>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</si>
  <si>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</si>
  <si>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</si>
  <si>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</si>
  <si>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</si>
  <si>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</si>
  <si>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</si>
  <si>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</si>
  <si>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</si>
  <si>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</si>
  <si>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</si>
  <si>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</si>
  <si>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</si>
  <si>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</si>
  <si>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</si>
  <si>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</si>
  <si>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</si>
  <si>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</si>
  <si>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</si>
  <si>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</si>
  <si>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</si>
  <si>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</si>
  <si>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</si>
  <si>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</si>
  <si>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</si>
  <si>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</si>
  <si>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</si>
  <si>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</si>
  <si>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</si>
  <si>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</si>
  <si>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</si>
  <si>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</si>
  <si>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</si>
  <si>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</si>
  <si>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</si>
  <si>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</si>
  <si>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</si>
  <si>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</si>
  <si>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</si>
  <si>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</si>
  <si>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</si>
  <si>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</si>
  <si>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</si>
  <si>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</si>
  <si>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</si>
  <si>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</si>
  <si>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</si>
  <si>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</si>
  <si>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</si>
  <si>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</si>
  <si>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</si>
  <si>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</si>
  <si>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</si>
  <si>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</si>
  <si>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</si>
  <si>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</si>
  <si>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</si>
  <si>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</si>
  <si>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</si>
  <si>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</si>
  <si>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</si>
  <si>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</si>
  <si>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</si>
  <si>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</si>
  <si>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</si>
  <si>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</si>
  <si>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</si>
  <si>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</si>
  <si>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</si>
  <si>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</si>
  <si>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</si>
  <si>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</si>
  <si>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</si>
  <si>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</si>
  <si>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</si>
  <si>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</si>
  <si>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</si>
  <si>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</si>
  <si>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</si>
  <si>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</si>
  <si>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</si>
  <si>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</si>
  <si>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</si>
  <si>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</si>
  <si>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</si>
  <si>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</si>
  <si>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</si>
  <si>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</si>
  <si>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</si>
  <si>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</si>
  <si>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</si>
  <si>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</si>
  <si>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</si>
  <si>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</si>
  <si>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</si>
  <si>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</si>
  <si>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</si>
  <si>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</si>
  <si>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</si>
  <si>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</si>
  <si>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</si>
  <si>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</si>
  <si>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</si>
  <si>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</si>
  <si>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</si>
  <si>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</si>
  <si>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</si>
  <si>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</si>
  <si>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</si>
  <si>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</si>
  <si>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</si>
  <si>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</si>
  <si>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</si>
  <si>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</si>
  <si>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</si>
  <si>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</si>
  <si>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</si>
  <si>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</si>
  <si>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</si>
  <si>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</si>
  <si>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</si>
  <si>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</si>
  <si>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</si>
  <si>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</si>
  <si>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</si>
  <si>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</si>
  <si>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</si>
  <si>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</si>
  <si>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</si>
  <si>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</si>
  <si>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</si>
  <si>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</si>
  <si>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</si>
  <si>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</si>
  <si>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</si>
  <si>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</si>
  <si>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</si>
  <si>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</si>
  <si>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</si>
  <si>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</si>
  <si>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</si>
  <si>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</si>
  <si>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</si>
  <si>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</si>
  <si>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</si>
  <si>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</si>
  <si>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</si>
  <si>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</si>
  <si>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</si>
  <si>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</si>
  <si>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</si>
  <si>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</si>
  <si>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</si>
  <si>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</si>
  <si>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</si>
  <si>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</si>
  <si>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</si>
  <si>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</si>
  <si>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</si>
  <si>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</si>
  <si>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</si>
  <si>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</si>
  <si>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</si>
  <si>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</si>
  <si>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</si>
  <si>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</si>
  <si>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</si>
  <si>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</si>
  <si>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</si>
  <si>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</si>
  <si>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</si>
  <si>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</si>
  <si>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</si>
  <si>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</si>
  <si>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</si>
  <si>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</si>
  <si>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</si>
  <si>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</si>
  <si>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</si>
  <si>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</si>
  <si>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</si>
  <si>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</si>
  <si>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</si>
  <si>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</si>
  <si>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</si>
  <si>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</si>
  <si>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</si>
  <si>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</si>
  <si>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</si>
  <si>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</si>
  <si>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</si>
  <si>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</si>
  <si>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</si>
  <si>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</si>
  <si>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</si>
  <si>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</si>
  <si>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</si>
  <si>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</si>
  <si>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</si>
  <si>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</si>
  <si>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</si>
  <si>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</si>
  <si>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</si>
  <si>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</si>
  <si>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</si>
  <si>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</si>
  <si>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</si>
  <si>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</si>
  <si>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</si>
  <si>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</si>
  <si>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</si>
  <si>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</si>
  <si>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</si>
  <si>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</si>
  <si>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</si>
  <si>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</si>
  <si>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</si>
  <si>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</si>
  <si>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</si>
  <si>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</si>
  <si>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</si>
  <si>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</si>
  <si>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</si>
  <si>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</si>
  <si>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</si>
  <si>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</si>
  <si>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</si>
  <si>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</si>
  <si>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</si>
  <si>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</si>
  <si>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</si>
  <si>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</si>
  <si>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</si>
  <si>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</si>
  <si>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</si>
  <si>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</si>
  <si>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</si>
  <si>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</si>
  <si>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</si>
  <si>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</si>
  <si>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</si>
  <si>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</si>
  <si>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</si>
  <si>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</si>
  <si>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</si>
  <si>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</si>
  <si>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</si>
  <si>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</si>
  <si>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</si>
  <si>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</si>
  <si>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</si>
  <si>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</si>
  <si>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</si>
  <si>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</si>
  <si>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</si>
  <si>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</si>
  <si>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</si>
  <si>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</si>
  <si>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</si>
  <si>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</si>
  <si>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</si>
  <si>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</si>
  <si>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</si>
  <si>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</si>
  <si>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</si>
  <si>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</si>
  <si>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</si>
  <si>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</si>
  <si>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</si>
  <si>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</si>
  <si>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</si>
  <si>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</si>
  <si>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</si>
  <si>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</si>
  <si>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</si>
  <si>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</si>
  <si>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</si>
  <si>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</si>
  <si>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</si>
  <si>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</si>
  <si>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</si>
  <si>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</si>
  <si>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</si>
  <si>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</si>
  <si>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</si>
  <si>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</si>
  <si>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</si>
  <si>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</si>
  <si>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</si>
  <si>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</si>
  <si>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</si>
  <si>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</si>
  <si>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</si>
  <si>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</si>
  <si>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</si>
  <si>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</si>
  <si>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</si>
  <si>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</si>
  <si>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</si>
  <si>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</si>
  <si>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</si>
  <si>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</si>
  <si>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</si>
  <si>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</si>
  <si>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</si>
  <si>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</si>
  <si>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</si>
  <si>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</si>
  <si>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</si>
  <si>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</si>
  <si>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</si>
  <si>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</si>
  <si>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</si>
  <si>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</si>
  <si>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</si>
  <si>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</si>
  <si>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</si>
  <si>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</si>
  <si>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</si>
  <si>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</si>
  <si>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</si>
  <si>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</si>
  <si>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</si>
  <si>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</si>
  <si>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</si>
  <si>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</si>
  <si>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</si>
  <si>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</si>
  <si>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</si>
  <si>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</si>
  <si>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</si>
  <si>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</si>
  <si>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</si>
  <si>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</si>
  <si>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</si>
  <si>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</si>
  <si>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</si>
  <si>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</si>
  <si>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</si>
  <si>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</si>
  <si>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</si>
  <si>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</si>
  <si>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</si>
  <si>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</si>
  <si>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</si>
  <si>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</si>
  <si>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</si>
  <si>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</si>
  <si>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</si>
  <si>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</si>
  <si>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</si>
  <si>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</si>
  <si>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</si>
  <si>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</si>
  <si>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</si>
  <si>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</si>
  <si>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</si>
  <si>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</si>
  <si>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</si>
  <si>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</si>
  <si>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</si>
  <si>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</si>
  <si>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</si>
  <si>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</si>
  <si>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</si>
  <si>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</si>
  <si>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</si>
  <si>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</si>
  <si>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</si>
  <si>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</si>
  <si>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</si>
  <si>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</si>
  <si>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</si>
  <si>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</si>
  <si>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</si>
  <si>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</si>
  <si>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</si>
  <si>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</si>
  <si>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</si>
  <si>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</si>
  <si>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</si>
  <si>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</si>
  <si>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</si>
  <si>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</si>
  <si>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</si>
  <si>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</si>
  <si>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</si>
  <si>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</si>
  <si>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</si>
  <si>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</si>
  <si>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</si>
  <si>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</si>
  <si>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</si>
  <si>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</si>
  <si>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</si>
  <si>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</si>
  <si>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</si>
  <si>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</si>
  <si>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</si>
  <si>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</si>
  <si>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</si>
  <si>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</si>
  <si>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</si>
  <si>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</si>
  <si>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</si>
  <si>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</si>
  <si>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</si>
  <si>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</si>
  <si>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</si>
  <si>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</si>
  <si>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</si>
  <si>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</si>
  <si>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</si>
  <si>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</si>
  <si>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</si>
  <si>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</si>
  <si>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</si>
  <si>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</si>
  <si>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</si>
  <si>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</si>
  <si>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</si>
  <si>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</si>
  <si>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</si>
  <si>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</si>
  <si>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</si>
  <si>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</si>
  <si>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</si>
  <si>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</si>
  <si>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</si>
  <si>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</si>
  <si>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</si>
  <si>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</si>
  <si>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</si>
  <si>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</si>
  <si>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</si>
  <si>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</si>
  <si>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</si>
  <si>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</si>
  <si>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</si>
  <si>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</si>
  <si>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</si>
  <si>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</si>
  <si>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</si>
  <si>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</si>
  <si>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</si>
  <si>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</si>
  <si>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</si>
  <si>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</si>
  <si>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</si>
  <si>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</si>
  <si>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</si>
  <si>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</si>
  <si>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</si>
  <si>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</si>
  <si>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</si>
  <si>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</si>
  <si>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</si>
  <si>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</si>
  <si>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</si>
  <si>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</si>
  <si>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</si>
  <si>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</si>
  <si>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</si>
  <si>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</si>
  <si>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</si>
  <si>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</si>
  <si>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</si>
  <si>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</si>
  <si>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</si>
  <si>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</si>
  <si>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</si>
  <si>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</si>
  <si>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</si>
  <si>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</si>
  <si>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</si>
  <si>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</si>
  <si>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</si>
  <si>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</si>
  <si>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</si>
  <si>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</si>
  <si>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</si>
  <si>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</si>
  <si>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</si>
  <si>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</si>
  <si>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</si>
  <si>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</si>
  <si>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</si>
  <si>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</si>
  <si>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</si>
  <si>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</si>
  <si>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</si>
  <si>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</si>
  <si>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</si>
  <si>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</si>
  <si>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</si>
  <si>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</si>
  <si>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</si>
  <si>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</si>
  <si>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</si>
  <si>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</si>
  <si>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</si>
  <si>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</si>
  <si>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</si>
  <si>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</si>
  <si>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</si>
  <si>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</si>
  <si>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</si>
  <si>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</si>
  <si>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</si>
  <si>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</si>
  <si>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</si>
  <si>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</si>
  <si>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</si>
  <si>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</si>
  <si>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</si>
  <si>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</si>
  <si>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</si>
  <si>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</si>
  <si>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</si>
  <si>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</si>
  <si>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</si>
  <si>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</si>
  <si>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</si>
  <si>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</si>
  <si>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</si>
  <si>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</si>
  <si>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</si>
  <si>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</si>
  <si>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</si>
  <si>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</si>
  <si>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</si>
  <si>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</si>
  <si>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</si>
  <si>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</si>
  <si>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</si>
  <si>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</si>
  <si>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</si>
  <si>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</si>
  <si>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</si>
  <si>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</si>
  <si>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</si>
  <si>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</si>
  <si>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</si>
  <si>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</si>
  <si>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</si>
  <si>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</si>
  <si>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</si>
  <si>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</si>
  <si>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</si>
  <si>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</si>
  <si>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</si>
  <si>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</si>
  <si>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</si>
  <si>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</si>
  <si>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</si>
  <si>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</si>
  <si>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</si>
  <si>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</si>
  <si>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</si>
  <si>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</si>
  <si>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</si>
  <si>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</si>
  <si>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</si>
  <si>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</si>
  <si>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</si>
  <si>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</si>
  <si>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</si>
  <si>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</si>
  <si>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</si>
  <si>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</si>
  <si>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</si>
  <si>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</si>
  <si>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</si>
  <si>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</si>
  <si>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</si>
  <si>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</si>
  <si>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</si>
  <si>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</si>
  <si>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</si>
  <si>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</si>
  <si>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</si>
  <si>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</si>
  <si>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</si>
  <si>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</si>
  <si>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</si>
  <si>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</si>
  <si>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</si>
  <si>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</si>
  <si>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</si>
  <si>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</si>
  <si>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</si>
  <si>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</si>
  <si>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</si>
  <si>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</si>
  <si>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</si>
  <si>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</si>
  <si>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</si>
  <si>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</si>
  <si>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</si>
  <si>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</si>
  <si>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</si>
  <si>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</si>
  <si>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</si>
  <si>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</si>
  <si>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</si>
  <si>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</si>
  <si>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</si>
  <si>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</si>
  <si>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</si>
  <si>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</si>
  <si>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</si>
  <si>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</si>
  <si>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</si>
  <si>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</si>
  <si>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</si>
  <si>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</si>
  <si>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</si>
  <si>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</si>
  <si>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</si>
  <si>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</si>
  <si>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</si>
  <si>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</si>
  <si>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</si>
  <si>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</si>
  <si>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</si>
  <si>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</si>
  <si>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</si>
  <si>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</si>
  <si>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</si>
  <si>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</si>
  <si>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</si>
  <si>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</si>
  <si>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</si>
  <si>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</si>
  <si>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</si>
  <si>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</si>
  <si>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</si>
  <si>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</si>
  <si>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</si>
  <si>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</si>
  <si>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</si>
  <si>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</si>
  <si>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</si>
  <si>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</si>
  <si>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</si>
  <si>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</si>
  <si>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</si>
  <si>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</si>
  <si>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</si>
  <si>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</si>
  <si>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</si>
  <si>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</si>
  <si>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</si>
  <si>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</si>
  <si>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</si>
  <si>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</si>
  <si>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</si>
  <si>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</si>
  <si>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</si>
  <si>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</si>
  <si>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</si>
  <si>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</si>
  <si>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</si>
  <si>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</si>
  <si>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</si>
  <si>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</si>
  <si>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</si>
  <si>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</si>
  <si>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</si>
  <si>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</si>
  <si>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</si>
  <si>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</si>
  <si>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</si>
  <si>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</si>
  <si>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</si>
  <si>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</si>
  <si>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</si>
  <si>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</si>
  <si>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</si>
  <si>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</si>
  <si>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</si>
  <si>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</si>
  <si>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</si>
  <si>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</si>
  <si>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</si>
  <si>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</si>
  <si>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</si>
  <si>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</si>
  <si>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</si>
  <si>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</si>
  <si>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</si>
  <si>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</si>
  <si>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</si>
  <si>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</si>
  <si>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</si>
  <si>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</si>
  <si>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</si>
  <si>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</si>
  <si>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</si>
  <si>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</si>
  <si>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</si>
  <si>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</si>
  <si>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</si>
  <si>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</si>
  <si>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</si>
  <si>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</si>
  <si>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</si>
  <si>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</si>
  <si>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</si>
  <si>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</si>
  <si>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</si>
  <si>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</si>
  <si>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</si>
  <si>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</si>
  <si>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</si>
  <si>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</si>
  <si>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</si>
  <si>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</si>
  <si>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</si>
  <si>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</si>
  <si>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</si>
  <si>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</si>
  <si>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</si>
  <si>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</si>
  <si>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</si>
  <si>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</si>
  <si>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</si>
  <si>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</si>
  <si>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</si>
  <si>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</si>
  <si>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</si>
  <si>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</si>
  <si>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</si>
  <si>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</si>
  <si>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</si>
  <si>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</si>
  <si>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</si>
  <si>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</si>
  <si>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</si>
  <si>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</si>
  <si>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</si>
  <si>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</si>
  <si>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</si>
  <si>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</si>
  <si>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</si>
  <si>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</si>
  <si>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</si>
  <si>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</si>
  <si>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</si>
  <si>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</si>
  <si>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</si>
  <si>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</si>
  <si>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</si>
  <si>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</si>
  <si>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</si>
  <si>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</si>
  <si>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</si>
  <si>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</si>
  <si>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</si>
  <si>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</si>
  <si>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</si>
  <si>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</si>
  <si>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</si>
  <si>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</si>
  <si>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</si>
  <si>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</si>
  <si>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</si>
  <si>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</si>
  <si>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</si>
  <si>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</si>
  <si>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</si>
  <si>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</si>
  <si>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</si>
  <si>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</si>
  <si>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</si>
  <si>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</si>
  <si>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</si>
  <si>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</si>
  <si>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</si>
  <si>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</si>
  <si>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</si>
  <si>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</si>
  <si>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</si>
  <si>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</si>
  <si>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</si>
  <si>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</si>
  <si>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</si>
  <si>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</si>
  <si>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</si>
  <si>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</si>
  <si>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</si>
  <si>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</si>
  <si>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</si>
  <si>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</si>
  <si>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</si>
  <si>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</si>
  <si>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</si>
  <si>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</si>
  <si>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</si>
  <si>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</si>
  <si>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</si>
  <si>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</si>
  <si>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</si>
  <si>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</si>
  <si>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</si>
  <si>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</si>
  <si>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</si>
  <si>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</si>
  <si>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</si>
  <si>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</si>
  <si>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</si>
  <si>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</si>
  <si>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</si>
  <si>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</si>
  <si>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</si>
  <si>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</si>
  <si>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</si>
  <si>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</si>
  <si>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</si>
  <si>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</si>
  <si>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</si>
  <si>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</si>
  <si>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</si>
  <si>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</si>
  <si>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</si>
  <si>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</si>
  <si>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</si>
  <si>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</si>
  <si>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</si>
  <si>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</si>
  <si>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</si>
  <si>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</si>
  <si>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</si>
  <si>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</si>
  <si>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</si>
  <si>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</si>
  <si>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</si>
  <si>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</si>
  <si>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</si>
  <si>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</si>
  <si>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</si>
  <si>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</si>
  <si>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</si>
  <si>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</si>
  <si>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</si>
  <si>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</si>
  <si>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</si>
  <si>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</si>
  <si>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</si>
  <si>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</si>
  <si>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</si>
  <si>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</si>
  <si>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</si>
  <si>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</si>
  <si>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</si>
  <si>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</si>
  <si>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</si>
  <si>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</si>
  <si>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</si>
  <si>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</si>
  <si>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</si>
  <si>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</si>
  <si>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</si>
  <si>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</si>
  <si>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</si>
  <si>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</si>
  <si>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</si>
  <si>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</si>
  <si>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</si>
  <si>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</si>
  <si>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</si>
  <si>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</si>
  <si>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</si>
  <si>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</si>
  <si>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</si>
  <si>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</si>
  <si>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</si>
  <si>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</si>
  <si>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</si>
  <si>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</si>
  <si>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</si>
  <si>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</si>
  <si>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</si>
  <si>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</si>
  <si>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</si>
  <si>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</si>
  <si>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</si>
  <si>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</si>
  <si>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</si>
  <si>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</si>
  <si>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</si>
  <si>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</si>
  <si>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</si>
  <si>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</si>
  <si>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</si>
  <si>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</si>
  <si>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</si>
  <si>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</si>
  <si>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</si>
  <si>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</si>
  <si>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</si>
  <si>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</si>
  <si>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</si>
  <si>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</si>
  <si>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</si>
  <si>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</si>
  <si>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</si>
  <si>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</si>
  <si>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</si>
  <si>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</si>
  <si>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</si>
  <si>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</si>
  <si>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</si>
  <si>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</si>
  <si>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</si>
  <si>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</si>
  <si>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</si>
  <si>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</si>
  <si>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</si>
  <si>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</si>
  <si>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</si>
  <si>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</si>
  <si>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</si>
  <si>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</si>
  <si>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</si>
  <si>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</si>
  <si>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</si>
  <si>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</si>
  <si>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</si>
  <si>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</si>
  <si>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</si>
  <si>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</si>
  <si>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</si>
  <si>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</si>
  <si>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</si>
  <si>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</si>
  <si>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</si>
  <si>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</si>
  <si>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</si>
  <si>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</si>
  <si>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</si>
  <si>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</si>
  <si>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</si>
  <si>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</si>
  <si>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</si>
  <si>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</si>
  <si>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</si>
  <si>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</si>
  <si>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</si>
  <si>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</si>
  <si>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</si>
  <si>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</si>
  <si>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</si>
  <si>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</si>
  <si>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</si>
  <si>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</si>
  <si>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</si>
  <si>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</si>
  <si>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</si>
  <si>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</si>
  <si>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</si>
  <si>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</si>
  <si>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</si>
  <si>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</si>
  <si>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</si>
  <si>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</si>
  <si>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</si>
  <si>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</si>
  <si>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</si>
  <si>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</si>
  <si>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</si>
  <si>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</si>
  <si>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</si>
  <si>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</si>
  <si>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</si>
  <si>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</si>
  <si>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</si>
  <si>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</si>
  <si>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</si>
  <si>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</si>
  <si>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</si>
  <si>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</si>
  <si>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</si>
  <si>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</si>
  <si>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</si>
  <si>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</si>
  <si>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</si>
  <si>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</si>
  <si>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</si>
  <si>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</si>
  <si>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</si>
  <si>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</si>
  <si>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</si>
  <si>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</si>
  <si>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</si>
  <si>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</si>
  <si>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</si>
  <si>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</si>
  <si>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</si>
  <si>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</si>
  <si>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</si>
  <si>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</si>
  <si>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</si>
  <si>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</si>
  <si>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</si>
  <si>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</si>
  <si>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</si>
  <si>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</si>
  <si>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</si>
  <si>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</si>
  <si>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</si>
  <si>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</si>
  <si>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</si>
  <si>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</si>
  <si>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</si>
  <si>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</si>
  <si>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</si>
  <si>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</si>
  <si>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</si>
  <si>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</si>
  <si>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</si>
  <si>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</si>
  <si>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</si>
  <si>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</si>
  <si>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</si>
  <si>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</si>
  <si>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</si>
  <si>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</si>
  <si>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</si>
  <si>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</si>
  <si>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</si>
  <si>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</si>
  <si>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</si>
  <si>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</si>
  <si>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</si>
  <si>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</si>
  <si>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</si>
  <si>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</si>
  <si>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</si>
  <si>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</si>
  <si>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</si>
  <si>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</si>
  <si>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</si>
  <si>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</si>
  <si>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</si>
  <si>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</si>
  <si>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</si>
  <si>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</si>
  <si>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</si>
  <si>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</si>
  <si>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</si>
  <si>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</si>
  <si>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</si>
  <si>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</si>
  <si>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</si>
  <si>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</si>
  <si>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</si>
  <si>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</si>
  <si>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</si>
  <si>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</si>
  <si>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</si>
  <si>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</si>
  <si>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</si>
  <si>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</si>
  <si>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</si>
  <si>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</si>
  <si>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</si>
  <si>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</si>
  <si>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83938812619</t>
  </si>
  <si>
    <t>04042034</t>
  </si>
  <si>
    <t>040305467</t>
  </si>
  <si>
    <t>RIJEKA PLUS d.o.o.</t>
  </si>
  <si>
    <t>RIJEKA</t>
  </si>
  <si>
    <t>BLAŽA POLIĆA 2</t>
  </si>
  <si>
    <t>uprava@rijeka-plus.hr</t>
  </si>
  <si>
    <t>www.rijeka-plus.hr</t>
  </si>
  <si>
    <t>+38551311420</t>
  </si>
  <si>
    <t>+38551311520</t>
  </si>
  <si>
    <t>SMOJVER ŽELJKO</t>
  </si>
  <si>
    <t>HSFI</t>
  </si>
  <si>
    <t>94315988508</t>
  </si>
  <si>
    <t>Nataša Tubin Bakarčić</t>
  </si>
  <si>
    <t>natasa.tubin@rijeka-plus.hr</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</si>
</sst>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4" applyFont="1" applyFill="1" applyBorder="1" applyAlignment="1" applyProtection="1">
      <alignment horizontal="center" vertical="center" shrinkToFit="1"/>
      <protection hidden="1"/>
    </xf>
    <xf numFmtId="0" fontId="42" fillId="35" borderId="22" xfId="54"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4" applyFont="1" applyBorder="1" applyAlignment="1" applyProtection="1">
      <alignment vertical="center"/>
      <protection hidden="1"/>
    </xf>
    <xf numFmtId="0" fontId="53" fillId="0" borderId="51" xfId="54" applyFont="1" applyBorder="1" applyAlignment="1" applyProtection="1">
      <alignment vertical="center"/>
      <protection/>
    </xf>
    <xf numFmtId="0" fontId="53" fillId="0" borderId="52" xfId="54"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54"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54"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iperveza 2"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93249.9</v>
      </c>
      <c r="I2" s="27">
        <f>ABS(ROUND(J2,0)-J2)+ABS(ROUND(K2,0)-K2)</f>
        <v>0</v>
      </c>
      <c r="J2" s="27">
        <f>Bilanca!I9</f>
        <v>0</v>
      </c>
      <c r="K2" s="27">
        <f>Bilanca!J9</f>
        <v>4662495</v>
      </c>
    </row>
    <row r="3" spans="1:11" ht="12.75">
      <c r="A3" s="4" t="s">
        <v>2695</v>
      </c>
      <c r="B3" s="25" t="s">
        <v>2696</v>
      </c>
      <c r="D3" s="4" t="s">
        <v>554</v>
      </c>
      <c r="E3" s="4">
        <v>1</v>
      </c>
      <c r="F3" s="4">
        <f>Bilanca!G10</f>
        <v>2</v>
      </c>
      <c r="G3" s="4">
        <f>IF(Bilanca!H10=0,"",Bilanca!H10)</f>
      </c>
      <c r="H3" s="26">
        <f>J3/100*F3+2*K3/100*F3</f>
        <v>5067064.640000001</v>
      </c>
      <c r="I3" s="27">
        <f>ABS(ROUND(J3,0)-J3)+ABS(ROUND(K3,0)-K3)</f>
        <v>0</v>
      </c>
      <c r="J3" s="27">
        <f>Bilanca!I10</f>
        <v>102656324</v>
      </c>
      <c r="K3" s="27">
        <f>Bilanca!J10</f>
        <v>75348454</v>
      </c>
    </row>
    <row r="4" spans="1:11" ht="12.75">
      <c r="A4" s="4" t="s">
        <v>2697</v>
      </c>
      <c r="B4" s="25" t="s">
        <v>364</v>
      </c>
      <c r="D4" s="4" t="s">
        <v>554</v>
      </c>
      <c r="E4" s="4">
        <v>1</v>
      </c>
      <c r="F4" s="4">
        <f>Bilanca!G11</f>
        <v>3</v>
      </c>
      <c r="G4" s="4">
        <f>IF(Bilanca!H11=0,"",Bilanca!H11)</f>
      </c>
      <c r="H4" s="26">
        <f>J4/100*F4+2*K4/100*F4</f>
        <v>294986.52</v>
      </c>
      <c r="I4" s="27">
        <f>ABS(ROUND(J4,0)-J4)+ABS(ROUND(K4,0)-K4)</f>
        <v>0</v>
      </c>
      <c r="J4" s="27">
        <f>Bilanca!I11</f>
        <v>2653478</v>
      </c>
      <c r="K4" s="27">
        <f>Bilanca!J11</f>
        <v>3589703</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04042034</v>
      </c>
      <c r="D6" s="4" t="s">
        <v>554</v>
      </c>
      <c r="E6" s="4">
        <v>1</v>
      </c>
      <c r="F6" s="4">
        <f>Bilanca!G13</f>
        <v>5</v>
      </c>
      <c r="G6" s="4">
        <f>IF(Bilanca!H13=0,"",Bilanca!H13)</f>
      </c>
      <c r="H6" s="26">
        <f aca="true" t="shared" si="0" ref="H6:H45">J6/100*F6+2*K6/100*F6</f>
        <v>385072.7</v>
      </c>
      <c r="I6" s="27">
        <f aca="true" t="shared" si="1" ref="I6:I45">ABS(ROUND(J6,0)-J6)+ABS(ROUND(K6,0)-K6)</f>
        <v>0</v>
      </c>
      <c r="J6" s="27">
        <f>Bilanca!I13</f>
        <v>2583478</v>
      </c>
      <c r="K6" s="27">
        <f>Bilanca!J13</f>
        <v>2558988</v>
      </c>
    </row>
    <row r="7" spans="1:11" ht="12.75">
      <c r="A7" s="4" t="s">
        <v>1561</v>
      </c>
      <c r="B7" s="25" t="str">
        <f>RefStr!M27</f>
        <v>040305467</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83938812619</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RIJEKA PLUS d.o.o.</v>
      </c>
      <c r="D9" s="4" t="s">
        <v>554</v>
      </c>
      <c r="E9" s="4">
        <v>1</v>
      </c>
      <c r="F9" s="4">
        <f>Bilanca!G16</f>
        <v>8</v>
      </c>
      <c r="G9" s="4">
        <f>IF(Bilanca!H16=0,"",Bilanca!H16)</f>
      </c>
      <c r="H9" s="26">
        <f t="shared" si="0"/>
        <v>170514.4</v>
      </c>
      <c r="I9" s="27">
        <f t="shared" si="1"/>
        <v>0</v>
      </c>
      <c r="J9" s="27">
        <f>Bilanca!I16</f>
        <v>70000</v>
      </c>
      <c r="K9" s="27">
        <f>Bilanca!J16</f>
        <v>1030715</v>
      </c>
    </row>
    <row r="10" spans="1:11" ht="12.75">
      <c r="A10" s="4" t="s">
        <v>2736</v>
      </c>
      <c r="B10" s="25" t="str">
        <f>TEXT(RefStr!C31,"00000")</f>
        <v>51000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RIJEKA</v>
      </c>
      <c r="D11" s="4" t="s">
        <v>554</v>
      </c>
      <c r="E11" s="4">
        <v>1</v>
      </c>
      <c r="F11" s="4">
        <f>Bilanca!G18</f>
        <v>10</v>
      </c>
      <c r="G11" s="4">
        <f>IF(Bilanca!H18=0,"",Bilanca!H18)</f>
      </c>
      <c r="H11" s="26">
        <f t="shared" si="0"/>
        <v>24352034.799999997</v>
      </c>
      <c r="I11" s="27">
        <f t="shared" si="1"/>
        <v>0</v>
      </c>
      <c r="J11" s="27">
        <f>Bilanca!I18</f>
        <v>100002846</v>
      </c>
      <c r="K11" s="27">
        <f>Bilanca!J18</f>
        <v>71758751</v>
      </c>
    </row>
    <row r="12" spans="1:11" ht="12.75">
      <c r="A12" s="4" t="s">
        <v>2738</v>
      </c>
      <c r="B12" s="25" t="str">
        <f>TRIM(RefStr!C33)</f>
        <v>BLAŽA POLIĆA 2</v>
      </c>
      <c r="D12" s="4" t="s">
        <v>554</v>
      </c>
      <c r="E12" s="4">
        <v>1</v>
      </c>
      <c r="F12" s="4">
        <f>Bilanca!G19</f>
        <v>11</v>
      </c>
      <c r="G12" s="4">
        <f>IF(Bilanca!H19=0,"",Bilanca!H19)</f>
      </c>
      <c r="H12" s="26">
        <f t="shared" si="0"/>
        <v>4730709.61</v>
      </c>
      <c r="I12" s="27">
        <f t="shared" si="1"/>
        <v>0</v>
      </c>
      <c r="J12" s="27">
        <f>Bilanca!I19</f>
        <v>13567617</v>
      </c>
      <c r="K12" s="27">
        <f>Bilanca!J19</f>
        <v>14719417</v>
      </c>
    </row>
    <row r="13" spans="1:11" ht="12.75">
      <c r="A13" s="4" t="s">
        <v>2884</v>
      </c>
      <c r="B13" s="25" t="str">
        <f>TRIM(RefStr!C35)</f>
        <v>uprava@rijeka-plus.hr</v>
      </c>
      <c r="D13" s="4" t="s">
        <v>554</v>
      </c>
      <c r="E13" s="4">
        <v>1</v>
      </c>
      <c r="F13" s="4">
        <f>Bilanca!G20</f>
        <v>12</v>
      </c>
      <c r="G13" s="4">
        <f>IF(Bilanca!H20=0,"",Bilanca!H20)</f>
      </c>
      <c r="H13" s="26">
        <f t="shared" si="0"/>
        <v>19637901.36</v>
      </c>
      <c r="I13" s="27">
        <f t="shared" si="1"/>
        <v>0</v>
      </c>
      <c r="J13" s="27">
        <f>Bilanca!I20</f>
        <v>55628708</v>
      </c>
      <c r="K13" s="27">
        <f>Bilanca!J20</f>
        <v>54010235</v>
      </c>
    </row>
    <row r="14" spans="1:11" ht="12.75">
      <c r="A14" s="4" t="s">
        <v>2885</v>
      </c>
      <c r="B14" s="25" t="str">
        <f>TRIM(RefStr!C37)</f>
        <v>www.rijeka-plus.hr</v>
      </c>
      <c r="D14" s="4" t="s">
        <v>554</v>
      </c>
      <c r="E14" s="4">
        <v>1</v>
      </c>
      <c r="F14" s="4">
        <f>Bilanca!G21</f>
        <v>13</v>
      </c>
      <c r="G14" s="4">
        <f>IF(Bilanca!H21=0,"",Bilanca!H21)</f>
      </c>
      <c r="H14" s="26">
        <f t="shared" si="0"/>
        <v>799379.36</v>
      </c>
      <c r="I14" s="27">
        <f t="shared" si="1"/>
        <v>0</v>
      </c>
      <c r="J14" s="27">
        <f>Bilanca!I21</f>
        <v>1831670</v>
      </c>
      <c r="K14" s="27">
        <f>Bilanca!J21</f>
        <v>2158701</v>
      </c>
    </row>
    <row r="15" spans="1:11" ht="12.75">
      <c r="A15" s="4" t="s">
        <v>2741</v>
      </c>
      <c r="B15" s="25" t="str">
        <f>TEXT(RefStr!J39,"00")</f>
        <v>08</v>
      </c>
      <c r="D15" s="4" t="s">
        <v>554</v>
      </c>
      <c r="E15" s="4">
        <v>1</v>
      </c>
      <c r="F15" s="4">
        <f>Bilanca!G22</f>
        <v>14</v>
      </c>
      <c r="G15" s="4">
        <f>IF(Bilanca!H22=0,"",Bilanca!H22)</f>
      </c>
      <c r="H15" s="26">
        <f t="shared" si="0"/>
        <v>314285.58</v>
      </c>
      <c r="I15" s="27">
        <f t="shared" si="1"/>
        <v>0</v>
      </c>
      <c r="J15" s="27">
        <f>Bilanca!I22</f>
        <v>573089</v>
      </c>
      <c r="K15" s="27">
        <f>Bilanca!J22</f>
        <v>835904</v>
      </c>
    </row>
    <row r="16" spans="1:11" ht="12.75">
      <c r="A16" s="4" t="s">
        <v>2740</v>
      </c>
      <c r="B16" s="25" t="str">
        <f>TEXT(RefStr!C39,"000")</f>
        <v>373</v>
      </c>
      <c r="D16" s="4" t="s">
        <v>554</v>
      </c>
      <c r="E16" s="4">
        <v>1</v>
      </c>
      <c r="F16" s="4">
        <f>Bilanca!G23</f>
        <v>15</v>
      </c>
      <c r="G16" s="4">
        <f>IF(Bilanca!H23=0,"",Bilanca!H23)</f>
      </c>
      <c r="H16" s="26">
        <f t="shared" si="0"/>
        <v>16492.350000000002</v>
      </c>
      <c r="I16" s="27">
        <f t="shared" si="1"/>
        <v>0</v>
      </c>
      <c r="J16" s="27">
        <f>Bilanca!I23</f>
        <v>40961</v>
      </c>
      <c r="K16" s="27">
        <f>Bilanca!J23</f>
        <v>34494</v>
      </c>
    </row>
    <row r="17" spans="1:11" ht="12.75">
      <c r="A17" s="4" t="s">
        <v>2739</v>
      </c>
      <c r="B17" s="25" t="str">
        <f>RefStr!C42</f>
        <v>5221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DA</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f>IF(Bilanca!H27=0,"",Bilanca!H27)</f>
      </c>
      <c r="H20" s="26">
        <f t="shared" si="0"/>
        <v>5388552.19</v>
      </c>
      <c r="I20" s="27">
        <f t="shared" si="1"/>
        <v>0</v>
      </c>
      <c r="J20" s="27">
        <f>Bilanca!I27</f>
        <v>28360801</v>
      </c>
      <c r="K20" s="27">
        <f>Bilanca!J27</f>
        <v>0</v>
      </c>
    </row>
    <row r="21" spans="1:11" ht="12.75">
      <c r="A21" s="4" t="s">
        <v>2889</v>
      </c>
      <c r="B21" s="25">
        <f>IF(RefStr!C50&gt;0,IF(RefStr!C50=1,4,RefStr!C50-1),RefStr!C50)</f>
        <v>2</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149</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161</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107</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116</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69567714.5</v>
      </c>
      <c r="I38" s="27">
        <f t="shared" si="1"/>
        <v>0</v>
      </c>
      <c r="J38" s="27">
        <f>Bilanca!I45</f>
        <v>12241622</v>
      </c>
      <c r="K38" s="27">
        <f>Bilanca!J45</f>
        <v>87889614</v>
      </c>
    </row>
    <row r="39" spans="1:11" ht="12.75">
      <c r="A39" s="4" t="s">
        <v>1611</v>
      </c>
      <c r="B39" s="25" t="str">
        <f>RefStr!C68</f>
        <v>Nataša Tubin Bakarčić</v>
      </c>
      <c r="D39" s="4" t="s">
        <v>554</v>
      </c>
      <c r="E39" s="4">
        <v>1</v>
      </c>
      <c r="F39" s="4">
        <f>Bilanca!G46</f>
        <v>38</v>
      </c>
      <c r="G39" s="4">
        <f>IF(Bilanca!H46=0,"",Bilanca!H46)</f>
      </c>
      <c r="H39" s="26">
        <f t="shared" si="0"/>
        <v>346011.66</v>
      </c>
      <c r="I39" s="27">
        <f t="shared" si="1"/>
        <v>0</v>
      </c>
      <c r="J39" s="27">
        <f>Bilanca!I46</f>
        <v>155283</v>
      </c>
      <c r="K39" s="27">
        <f>Bilanca!J46</f>
        <v>377637</v>
      </c>
    </row>
    <row r="40" spans="1:11" ht="12.75">
      <c r="A40" s="4" t="s">
        <v>1612</v>
      </c>
      <c r="B40" s="25" t="str">
        <f>TRIM(RefStr!C70)</f>
        <v>+38551311520</v>
      </c>
      <c r="D40" s="4" t="s">
        <v>554</v>
      </c>
      <c r="E40" s="4">
        <v>1</v>
      </c>
      <c r="F40" s="4">
        <f>Bilanca!G47</f>
        <v>39</v>
      </c>
      <c r="G40" s="4">
        <f>IF(Bilanca!H47=0,"",Bilanca!H47)</f>
      </c>
      <c r="H40" s="26">
        <f t="shared" si="0"/>
        <v>355117.23</v>
      </c>
      <c r="I40" s="27">
        <f t="shared" si="1"/>
        <v>0</v>
      </c>
      <c r="J40" s="27">
        <f>Bilanca!I47</f>
        <v>155283</v>
      </c>
      <c r="K40" s="27">
        <f>Bilanca!J47</f>
        <v>377637</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natasa.tubin@rijeka-plus.hr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SMOJVER ŽELJKO</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39780215.8</v>
      </c>
      <c r="I47" s="27">
        <f t="shared" si="3"/>
        <v>0</v>
      </c>
      <c r="J47" s="27">
        <f>Bilanca!I54</f>
        <v>10278390</v>
      </c>
      <c r="K47" s="27">
        <f>Bilanca!J54</f>
        <v>38100170</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DA</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40394817.96</v>
      </c>
      <c r="I50" s="27">
        <f t="shared" si="3"/>
        <v>0</v>
      </c>
      <c r="J50" s="27">
        <f>Bilanca!I57</f>
        <v>9338854</v>
      </c>
      <c r="K50" s="27">
        <f>Bilanca!J57</f>
        <v>36549775</v>
      </c>
    </row>
    <row r="51" spans="1:11" ht="12.75">
      <c r="A51" s="4" t="s">
        <v>1035</v>
      </c>
      <c r="B51" s="25" t="str">
        <f>RefStr!I60</f>
        <v>DA</v>
      </c>
      <c r="D51" s="4" t="s">
        <v>554</v>
      </c>
      <c r="E51" s="4">
        <v>1</v>
      </c>
      <c r="F51" s="4">
        <f>Bilanca!G58</f>
        <v>50</v>
      </c>
      <c r="G51" s="4">
        <f>IF(Bilanca!H58=0,"",Bilanca!H58)</f>
      </c>
      <c r="H51" s="26">
        <f t="shared" si="2"/>
        <v>12415</v>
      </c>
      <c r="I51" s="27">
        <f t="shared" si="3"/>
        <v>0</v>
      </c>
      <c r="J51" s="27">
        <f>Bilanca!I58</f>
        <v>9708</v>
      </c>
      <c r="K51" s="27">
        <f>Bilanca!J58</f>
        <v>7561</v>
      </c>
    </row>
    <row r="52" spans="1:11" ht="12.75">
      <c r="A52" s="4" t="s">
        <v>1614</v>
      </c>
      <c r="B52" s="25" t="s">
        <v>1237</v>
      </c>
      <c r="D52" s="4" t="s">
        <v>554</v>
      </c>
      <c r="E52" s="4">
        <v>1</v>
      </c>
      <c r="F52" s="4">
        <f>Bilanca!G59</f>
        <v>51</v>
      </c>
      <c r="G52" s="4">
        <f>IF(Bilanca!H59=0,"",Bilanca!H59)</f>
      </c>
      <c r="H52" s="26">
        <f t="shared" si="2"/>
        <v>858782.37</v>
      </c>
      <c r="I52" s="27">
        <f t="shared" si="3"/>
        <v>0</v>
      </c>
      <c r="J52" s="27">
        <f>Bilanca!I59</f>
        <v>869215</v>
      </c>
      <c r="K52" s="27">
        <f>Bilanca!J59</f>
        <v>407336</v>
      </c>
    </row>
    <row r="53" spans="1:11" ht="12.75">
      <c r="A53" s="4" t="s">
        <v>1301</v>
      </c>
      <c r="B53" s="25" t="str">
        <f>RefStr!I56</f>
        <v>DA</v>
      </c>
      <c r="D53" s="4" t="s">
        <v>554</v>
      </c>
      <c r="E53" s="4">
        <v>1</v>
      </c>
      <c r="F53" s="4">
        <f>Bilanca!G60</f>
        <v>52</v>
      </c>
      <c r="G53" s="4">
        <f>IF(Bilanca!H60=0,"",Bilanca!H60)</f>
      </c>
      <c r="H53" s="26">
        <f t="shared" si="2"/>
        <v>1212436.68</v>
      </c>
      <c r="I53" s="27">
        <f t="shared" si="3"/>
        <v>0</v>
      </c>
      <c r="J53" s="27">
        <f>Bilanca!I60</f>
        <v>60613</v>
      </c>
      <c r="K53" s="27">
        <f>Bilanca!J60</f>
        <v>1135498</v>
      </c>
    </row>
    <row r="54" spans="1:11" ht="12.75">
      <c r="A54" s="4" t="s">
        <v>1302</v>
      </c>
      <c r="B54" s="25" t="str">
        <f>RefStr!I62</f>
        <v>DA</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DA</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6446981375.29</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94315988508</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63397884.69</v>
      </c>
      <c r="I64" s="27">
        <f t="shared" si="3"/>
        <v>0</v>
      </c>
      <c r="J64" s="27">
        <f>Bilanca!I71</f>
        <v>1807949</v>
      </c>
      <c r="K64" s="27">
        <f>Bilanca!J71</f>
        <v>49411807</v>
      </c>
    </row>
    <row r="65" spans="1:11" ht="12.75">
      <c r="A65" s="4" t="s">
        <v>923</v>
      </c>
      <c r="B65" s="25" t="str">
        <f>TRIM(RefStr!N19)</f>
        <v>HSFI</v>
      </c>
      <c r="D65" s="4" t="s">
        <v>554</v>
      </c>
      <c r="E65" s="4">
        <v>1</v>
      </c>
      <c r="F65" s="4">
        <f>Bilanca!G72</f>
        <v>64</v>
      </c>
      <c r="G65" s="4">
        <f>IF(Bilanca!H72=0,"",Bilanca!H72)</f>
      </c>
      <c r="H65" s="26">
        <f t="shared" si="2"/>
        <v>206847.36000000002</v>
      </c>
      <c r="I65" s="27">
        <f t="shared" si="3"/>
        <v>0</v>
      </c>
      <c r="J65" s="27">
        <f>Bilanca!I72</f>
        <v>91611</v>
      </c>
      <c r="K65" s="27">
        <f>Bilanca!J72</f>
        <v>115794</v>
      </c>
    </row>
    <row r="66" spans="1:11" ht="12.75">
      <c r="A66" s="4" t="s">
        <v>924</v>
      </c>
      <c r="B66" s="25">
        <f>RefStr!C23</f>
        <v>1</v>
      </c>
      <c r="D66" s="4" t="s">
        <v>554</v>
      </c>
      <c r="E66" s="4">
        <v>1</v>
      </c>
      <c r="F66" s="4">
        <f>Bilanca!G73</f>
        <v>65</v>
      </c>
      <c r="G66" s="4">
        <f>IF(Bilanca!H73=0,"",Bilanca!H73)</f>
      </c>
      <c r="H66" s="26">
        <f t="shared" si="2"/>
        <v>293164476.15</v>
      </c>
      <c r="I66" s="27">
        <f t="shared" si="3"/>
        <v>0</v>
      </c>
      <c r="J66" s="27">
        <f>Bilanca!I73</f>
        <v>114989557</v>
      </c>
      <c r="K66" s="27">
        <f>Bilanca!J73</f>
        <v>168016357</v>
      </c>
    </row>
    <row r="67" spans="1:11" ht="12.75">
      <c r="A67" s="4" t="s">
        <v>925</v>
      </c>
      <c r="B67" s="25" t="str">
        <f>TRIM(RefStr!L35)</f>
        <v>+38551311420</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178896331.5</v>
      </c>
      <c r="I68" s="27">
        <f t="shared" si="3"/>
        <v>0</v>
      </c>
      <c r="J68" s="27">
        <f>Bilanca!I76</f>
        <v>61918556</v>
      </c>
      <c r="K68" s="27">
        <f>Bilanca!J76</f>
        <v>102545447</v>
      </c>
    </row>
    <row r="69" spans="1:11" ht="12.75">
      <c r="A69" s="4" t="s">
        <v>927</v>
      </c>
      <c r="B69" s="25">
        <f>TRIM(RefStr!M46)</f>
      </c>
      <c r="D69" s="4" t="s">
        <v>554</v>
      </c>
      <c r="E69" s="4">
        <v>1</v>
      </c>
      <c r="F69" s="4">
        <f>Bilanca!G77</f>
        <v>68</v>
      </c>
      <c r="G69" s="4">
        <f>IF(Bilanca!H77=0,"",Bilanca!H77)</f>
      </c>
      <c r="H69" s="26">
        <f t="shared" si="2"/>
        <v>86969008</v>
      </c>
      <c r="I69" s="27">
        <f t="shared" si="3"/>
        <v>0</v>
      </c>
      <c r="J69" s="27">
        <f>Bilanca!I77</f>
        <v>36226200</v>
      </c>
      <c r="K69" s="27">
        <f>Bilanca!J77</f>
        <v>45834700</v>
      </c>
    </row>
    <row r="70" spans="1:11" ht="12.75">
      <c r="A70" s="4" t="s">
        <v>928</v>
      </c>
      <c r="B70" s="25">
        <f>RefStr!C46</f>
        <v>0</v>
      </c>
      <c r="D70" s="4" t="s">
        <v>554</v>
      </c>
      <c r="E70" s="4">
        <v>1</v>
      </c>
      <c r="F70" s="4">
        <f>Bilanca!G78</f>
        <v>69</v>
      </c>
      <c r="G70" s="4">
        <f>IF(Bilanca!H78=0,"",Bilanca!H78)</f>
      </c>
      <c r="H70" s="26">
        <f t="shared" si="2"/>
        <v>15772956.330000002</v>
      </c>
      <c r="I70" s="27">
        <f t="shared" si="3"/>
        <v>0</v>
      </c>
      <c r="J70" s="27">
        <f>Bilanca!I78</f>
        <v>259</v>
      </c>
      <c r="K70" s="27">
        <f>Bilanca!J78</f>
        <v>11429549</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70506294.69</v>
      </c>
      <c r="I84" s="27">
        <f t="shared" si="3"/>
        <v>0</v>
      </c>
      <c r="J84" s="27">
        <f>Bilanca!I92</f>
        <v>20596881</v>
      </c>
      <c r="K84" s="27">
        <f>Bilanca!J92</f>
        <v>32175231</v>
      </c>
    </row>
    <row r="85" spans="4:11" ht="12.75">
      <c r="D85" s="4" t="s">
        <v>554</v>
      </c>
      <c r="E85" s="4">
        <v>1</v>
      </c>
      <c r="F85" s="4">
        <f>Bilanca!G93</f>
        <v>84</v>
      </c>
      <c r="G85" s="4">
        <f>IF(Bilanca!H93=0,"",Bilanca!H93)</f>
      </c>
      <c r="H85" s="26">
        <f t="shared" si="2"/>
        <v>71355768.12</v>
      </c>
      <c r="I85" s="27">
        <f t="shared" si="3"/>
        <v>0</v>
      </c>
      <c r="J85" s="27">
        <f>Bilanca!I93</f>
        <v>20596881</v>
      </c>
      <c r="K85" s="27">
        <f>Bilanca!J93</f>
        <v>32175231</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26924149</v>
      </c>
      <c r="I87" s="27">
        <f>ABS(ROUND(J87,0)-J87)+ABS(ROUND(K87,0)-K87)</f>
        <v>0</v>
      </c>
      <c r="J87" s="27">
        <f>Bilanca!I95</f>
        <v>5095216</v>
      </c>
      <c r="K87" s="27">
        <f>Bilanca!J95</f>
        <v>13105967</v>
      </c>
    </row>
    <row r="88" spans="4:11" ht="12.75">
      <c r="D88" s="4" t="s">
        <v>554</v>
      </c>
      <c r="E88" s="4">
        <v>1</v>
      </c>
      <c r="F88" s="4">
        <f>Bilanca!G96</f>
        <v>87</v>
      </c>
      <c r="G88" s="4">
        <f>IF(Bilanca!H96=0,"",Bilanca!H96)</f>
      </c>
      <c r="H88" s="26">
        <f>J88/100*F88+2*K88/100*F88</f>
        <v>27237220.5</v>
      </c>
      <c r="I88" s="27">
        <f>ABS(ROUND(J88,0)-J88)+ABS(ROUND(K88,0)-K88)</f>
        <v>0</v>
      </c>
      <c r="J88" s="27">
        <f>Bilanca!I96</f>
        <v>5095216</v>
      </c>
      <c r="K88" s="27">
        <f>Bilanca!J96</f>
        <v>13105967</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4294872</v>
      </c>
      <c r="I91" s="27">
        <f t="shared" si="5"/>
        <v>0</v>
      </c>
      <c r="J91" s="27">
        <f>Bilanca!I99</f>
        <v>1228784</v>
      </c>
      <c r="K91" s="27">
        <f>Bilanca!J99</f>
        <v>1771648</v>
      </c>
    </row>
    <row r="92" spans="4:11" ht="12.75">
      <c r="D92" s="4" t="s">
        <v>554</v>
      </c>
      <c r="E92" s="4">
        <v>1</v>
      </c>
      <c r="F92" s="4">
        <f>Bilanca!G100</f>
        <v>91</v>
      </c>
      <c r="G92" s="4">
        <f>IF(Bilanca!H100=0,"",Bilanca!H100)</f>
      </c>
      <c r="H92" s="26">
        <f t="shared" si="4"/>
        <v>3752648.9</v>
      </c>
      <c r="I92" s="27">
        <f t="shared" si="5"/>
        <v>0</v>
      </c>
      <c r="J92" s="27">
        <f>Bilanca!I100</f>
        <v>1228784</v>
      </c>
      <c r="K92" s="27">
        <f>Bilanca!J100</f>
        <v>1447503</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602909.7</v>
      </c>
      <c r="I94" s="27">
        <f t="shared" si="5"/>
        <v>0</v>
      </c>
      <c r="J94" s="27">
        <f>Bilanca!I102</f>
        <v>0</v>
      </c>
      <c r="K94" s="27">
        <f>Bilanca!J102</f>
        <v>324145</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34878245.38</v>
      </c>
      <c r="I98" s="27">
        <f t="shared" si="5"/>
        <v>0</v>
      </c>
      <c r="J98" s="27">
        <f>Bilanca!I106</f>
        <v>21403572</v>
      </c>
      <c r="K98" s="27">
        <f>Bilanca!J106</f>
        <v>7276691</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25125158.740000002</v>
      </c>
      <c r="I104" s="27">
        <f t="shared" si="5"/>
        <v>0</v>
      </c>
      <c r="J104" s="27">
        <f>Bilanca!I112</f>
        <v>10652270</v>
      </c>
      <c r="K104" s="27">
        <f>Bilanca!J112</f>
        <v>6870544</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12373047.72</v>
      </c>
      <c r="I108" s="27">
        <f t="shared" si="5"/>
        <v>0</v>
      </c>
      <c r="J108" s="27">
        <f>Bilanca!I116</f>
        <v>10751302</v>
      </c>
      <c r="K108" s="27">
        <f>Bilanca!J116</f>
        <v>406147</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120948380.53</v>
      </c>
      <c r="I110" s="27">
        <f t="shared" si="5"/>
        <v>0</v>
      </c>
      <c r="J110" s="27">
        <f>Bilanca!I118</f>
        <v>19730759</v>
      </c>
      <c r="K110" s="27">
        <f>Bilanca!J118</f>
        <v>45615529</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562201.26</v>
      </c>
      <c r="I115" s="27">
        <f t="shared" si="5"/>
        <v>0</v>
      </c>
      <c r="J115" s="27">
        <f>Bilanca!I123</f>
        <v>97985</v>
      </c>
      <c r="K115" s="27">
        <f>Bilanca!J123</f>
        <v>197587</v>
      </c>
    </row>
    <row r="116" spans="4:11" ht="12.75">
      <c r="D116" s="4" t="s">
        <v>554</v>
      </c>
      <c r="E116" s="4">
        <v>1</v>
      </c>
      <c r="F116" s="4">
        <f>Bilanca!G124</f>
        <v>115</v>
      </c>
      <c r="G116" s="4">
        <f>IF(Bilanca!H124=0,"",Bilanca!H124)</f>
      </c>
      <c r="H116" s="26">
        <f t="shared" si="4"/>
        <v>13097088.95</v>
      </c>
      <c r="I116" s="27">
        <f t="shared" si="5"/>
        <v>0</v>
      </c>
      <c r="J116" s="27">
        <f>Bilanca!I124</f>
        <v>3794363</v>
      </c>
      <c r="K116" s="27">
        <f>Bilanca!J124</f>
        <v>3797205</v>
      </c>
    </row>
    <row r="117" spans="4:11" ht="12.75">
      <c r="D117" s="4" t="s">
        <v>554</v>
      </c>
      <c r="E117" s="4">
        <v>1</v>
      </c>
      <c r="F117" s="4">
        <f>Bilanca!G125</f>
        <v>116</v>
      </c>
      <c r="G117" s="4">
        <f>IF(Bilanca!H125=0,"",Bilanca!H125)</f>
      </c>
      <c r="H117" s="26">
        <f t="shared" si="4"/>
        <v>689500.52</v>
      </c>
      <c r="I117" s="27">
        <f t="shared" si="5"/>
        <v>0</v>
      </c>
      <c r="J117" s="27">
        <f>Bilanca!I125</f>
        <v>133551</v>
      </c>
      <c r="K117" s="27">
        <f>Bilanca!J125</f>
        <v>230423</v>
      </c>
    </row>
    <row r="118" spans="4:11" ht="12.75">
      <c r="D118" s="4" t="s">
        <v>554</v>
      </c>
      <c r="E118" s="4">
        <v>1</v>
      </c>
      <c r="F118" s="4">
        <f>Bilanca!G126</f>
        <v>117</v>
      </c>
      <c r="G118" s="4">
        <f>IF(Bilanca!H126=0,"",Bilanca!H126)</f>
      </c>
      <c r="H118" s="26">
        <f t="shared" si="4"/>
        <v>22820949.45</v>
      </c>
      <c r="I118" s="27">
        <f t="shared" si="5"/>
        <v>0</v>
      </c>
      <c r="J118" s="27">
        <f>Bilanca!I126</f>
        <v>2037167</v>
      </c>
      <c r="K118" s="27">
        <f>Bilanca!J126</f>
        <v>8733959</v>
      </c>
    </row>
    <row r="119" spans="4:11" ht="12.75">
      <c r="D119" s="4" t="s">
        <v>554</v>
      </c>
      <c r="E119" s="4">
        <v>1</v>
      </c>
      <c r="F119" s="4">
        <f>Bilanca!G127</f>
        <v>118</v>
      </c>
      <c r="G119" s="4">
        <f>IF(Bilanca!H127=0,"",Bilanca!H127)</f>
      </c>
      <c r="H119" s="26">
        <f t="shared" si="4"/>
        <v>66080000</v>
      </c>
      <c r="I119" s="27">
        <f t="shared" si="5"/>
        <v>0</v>
      </c>
      <c r="J119" s="27">
        <f>Bilanca!I127</f>
        <v>0</v>
      </c>
      <c r="K119" s="27">
        <f>Bilanca!J127</f>
        <v>28000000</v>
      </c>
    </row>
    <row r="120" spans="4:11" ht="12.75">
      <c r="D120" s="4" t="s">
        <v>554</v>
      </c>
      <c r="E120" s="4">
        <v>1</v>
      </c>
      <c r="F120" s="4">
        <f>Bilanca!G128</f>
        <v>119</v>
      </c>
      <c r="G120" s="4">
        <f>IF(Bilanca!H128=0,"",Bilanca!H128)</f>
      </c>
      <c r="H120" s="26">
        <f t="shared" si="4"/>
        <v>3811768.7299999995</v>
      </c>
      <c r="I120" s="27">
        <f t="shared" si="5"/>
        <v>0</v>
      </c>
      <c r="J120" s="27">
        <f>Bilanca!I128</f>
        <v>898031</v>
      </c>
      <c r="K120" s="27">
        <f>Bilanca!J128</f>
        <v>1152568</v>
      </c>
    </row>
    <row r="121" spans="4:11" ht="12.75">
      <c r="D121" s="4" t="s">
        <v>554</v>
      </c>
      <c r="E121" s="4">
        <v>1</v>
      </c>
      <c r="F121" s="4">
        <f>Bilanca!G129</f>
        <v>120</v>
      </c>
      <c r="G121" s="4">
        <f>IF(Bilanca!H129=0,"",Bilanca!H129)</f>
      </c>
      <c r="H121" s="26">
        <f t="shared" si="4"/>
        <v>8359645.199999999</v>
      </c>
      <c r="I121" s="27">
        <f t="shared" si="5"/>
        <v>0</v>
      </c>
      <c r="J121" s="27">
        <f>Bilanca!I129</f>
        <v>1762937</v>
      </c>
      <c r="K121" s="27">
        <f>Bilanca!J129</f>
        <v>2601717</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15757363.95</v>
      </c>
      <c r="I124" s="27">
        <f t="shared" si="5"/>
        <v>0</v>
      </c>
      <c r="J124" s="27">
        <f>Bilanca!I132</f>
        <v>11006725</v>
      </c>
      <c r="K124" s="27">
        <f>Bilanca!J132</f>
        <v>902070</v>
      </c>
    </row>
    <row r="125" spans="4:11" ht="12.75">
      <c r="D125" s="4" t="s">
        <v>554</v>
      </c>
      <c r="E125" s="4">
        <v>1</v>
      </c>
      <c r="F125" s="4">
        <f>Bilanca!G133</f>
        <v>124</v>
      </c>
      <c r="G125" s="4">
        <f>IF(Bilanca!H133=0,"",Bilanca!H133)</f>
      </c>
      <c r="H125" s="26">
        <f t="shared" si="4"/>
        <v>40079242.8</v>
      </c>
      <c r="I125" s="27">
        <f t="shared" si="5"/>
        <v>0</v>
      </c>
      <c r="J125" s="27">
        <f>Bilanca!I133</f>
        <v>10707886</v>
      </c>
      <c r="K125" s="27">
        <f>Bilanca!J133</f>
        <v>10807042</v>
      </c>
    </row>
    <row r="126" spans="4:11" ht="12.75">
      <c r="D126" s="4" t="s">
        <v>554</v>
      </c>
      <c r="E126" s="4">
        <v>1</v>
      </c>
      <c r="F126" s="4">
        <f>Bilanca!G134</f>
        <v>125</v>
      </c>
      <c r="G126" s="4">
        <f>IF(Bilanca!H134=0,"",Bilanca!H134)</f>
      </c>
      <c r="H126" s="26">
        <f t="shared" si="4"/>
        <v>563777838.75</v>
      </c>
      <c r="I126" s="27">
        <f t="shared" si="5"/>
        <v>0</v>
      </c>
      <c r="J126" s="27">
        <f>Bilanca!I134</f>
        <v>114989557</v>
      </c>
      <c r="K126" s="27">
        <f>Bilanca!J134</f>
        <v>168016357</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277482948.97</v>
      </c>
      <c r="I128" s="4">
        <f t="shared" si="5"/>
        <v>0</v>
      </c>
      <c r="J128" s="27">
        <f>RDG!I8</f>
        <v>54156779</v>
      </c>
      <c r="K128" s="27">
        <f>RDG!J8</f>
        <v>82166866</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240367627.26</v>
      </c>
      <c r="I130" s="4">
        <f aca="true" t="shared" si="7" ref="I130:I192">ABS(ROUND(J130,0)-J130)+ABS(ROUND(K130,0)-K130)</f>
        <v>0</v>
      </c>
      <c r="J130" s="27">
        <f>RDG!I10</f>
        <v>50838818</v>
      </c>
      <c r="K130" s="27">
        <f>RDG!J10</f>
        <v>67746338</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42449902.440000005</v>
      </c>
      <c r="I133" s="4">
        <f t="shared" si="7"/>
        <v>0</v>
      </c>
      <c r="J133" s="27">
        <f>RDG!I13</f>
        <v>3317961</v>
      </c>
      <c r="K133" s="27">
        <f>RDG!J13</f>
        <v>14420528</v>
      </c>
    </row>
    <row r="134" spans="4:11" ht="12.75">
      <c r="D134" s="4" t="s">
        <v>794</v>
      </c>
      <c r="E134" s="4">
        <v>2</v>
      </c>
      <c r="F134" s="4">
        <f>RDG!G14</f>
        <v>133</v>
      </c>
      <c r="G134" s="4">
        <f>IF(RDG!H14=0,"",RDG!H14)</f>
      </c>
      <c r="H134" s="26">
        <f t="shared" si="6"/>
        <v>234871323.4</v>
      </c>
      <c r="I134" s="4">
        <f t="shared" si="7"/>
        <v>0</v>
      </c>
      <c r="J134" s="27">
        <f>RDG!I14</f>
        <v>46640200</v>
      </c>
      <c r="K134" s="27">
        <f>RDG!J14</f>
        <v>64977390</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118530295.65</v>
      </c>
      <c r="I136" s="4">
        <f t="shared" si="7"/>
        <v>0</v>
      </c>
      <c r="J136" s="27">
        <f>RDG!I16</f>
        <v>19254941</v>
      </c>
      <c r="K136" s="27">
        <f>RDG!J16</f>
        <v>34272639</v>
      </c>
    </row>
    <row r="137" spans="4:11" ht="12.75">
      <c r="D137" s="4" t="s">
        <v>794</v>
      </c>
      <c r="E137" s="4">
        <v>2</v>
      </c>
      <c r="F137" s="4">
        <f>RDG!G17</f>
        <v>136</v>
      </c>
      <c r="G137" s="4">
        <f>IF(RDG!H17=0,"",RDG!H17)</f>
      </c>
      <c r="H137" s="26">
        <f t="shared" si="6"/>
        <v>17255499.12</v>
      </c>
      <c r="I137" s="4">
        <f t="shared" si="7"/>
        <v>0</v>
      </c>
      <c r="J137" s="27">
        <f>RDG!I17</f>
        <v>2152589</v>
      </c>
      <c r="K137" s="27">
        <f>RDG!J17</f>
        <v>5267639</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103655045.75999999</v>
      </c>
      <c r="I139" s="4">
        <f t="shared" si="7"/>
        <v>0</v>
      </c>
      <c r="J139" s="27">
        <f>RDG!I19</f>
        <v>17102352</v>
      </c>
      <c r="K139" s="27">
        <f>RDG!J19</f>
        <v>29005000</v>
      </c>
    </row>
    <row r="140" spans="4:11" ht="12.75">
      <c r="D140" s="4" t="s">
        <v>794</v>
      </c>
      <c r="E140" s="4">
        <v>2</v>
      </c>
      <c r="F140" s="4">
        <f>RDG!G20</f>
        <v>139</v>
      </c>
      <c r="G140" s="4">
        <f>IF(RDG!H20=0,"",RDG!H20)</f>
      </c>
      <c r="H140" s="26">
        <f t="shared" si="6"/>
        <v>71577286.89</v>
      </c>
      <c r="I140" s="4">
        <f t="shared" si="7"/>
        <v>0</v>
      </c>
      <c r="J140" s="27">
        <f>RDG!I20</f>
        <v>15344143</v>
      </c>
      <c r="K140" s="27">
        <f>RDG!J20</f>
        <v>18075154</v>
      </c>
    </row>
    <row r="141" spans="4:11" ht="12.75">
      <c r="D141" s="4" t="s">
        <v>794</v>
      </c>
      <c r="E141" s="4">
        <v>2</v>
      </c>
      <c r="F141" s="4">
        <f>RDG!G21</f>
        <v>140</v>
      </c>
      <c r="G141" s="4">
        <f>IF(RDG!H21=0,"",RDG!H21)</f>
      </c>
      <c r="H141" s="26">
        <f t="shared" si="6"/>
        <v>46307884</v>
      </c>
      <c r="I141" s="4">
        <f t="shared" si="7"/>
        <v>0</v>
      </c>
      <c r="J141" s="27">
        <f>RDG!I21</f>
        <v>9849076</v>
      </c>
      <c r="K141" s="27">
        <f>RDG!J21</f>
        <v>11613992</v>
      </c>
    </row>
    <row r="142" spans="4:11" ht="12.75">
      <c r="D142" s="4" t="s">
        <v>794</v>
      </c>
      <c r="E142" s="4">
        <v>2</v>
      </c>
      <c r="F142" s="4">
        <f>RDG!G22</f>
        <v>141</v>
      </c>
      <c r="G142" s="4">
        <f>IF(RDG!H22=0,"",RDG!H22)</f>
      </c>
      <c r="H142" s="26">
        <f t="shared" si="6"/>
        <v>16112996.370000001</v>
      </c>
      <c r="I142" s="4">
        <f t="shared" si="7"/>
        <v>0</v>
      </c>
      <c r="J142" s="27">
        <f>RDG!I22</f>
        <v>3393431</v>
      </c>
      <c r="K142" s="27">
        <f>RDG!J22</f>
        <v>4017113</v>
      </c>
    </row>
    <row r="143" spans="4:11" ht="12.75">
      <c r="D143" s="4" t="s">
        <v>794</v>
      </c>
      <c r="E143" s="4">
        <v>2</v>
      </c>
      <c r="F143" s="4">
        <f>RDG!G23</f>
        <v>142</v>
      </c>
      <c r="G143" s="4">
        <f>IF(RDG!H23=0,"",RDG!H23)</f>
      </c>
      <c r="H143" s="26">
        <f t="shared" si="6"/>
        <v>9925422.280000001</v>
      </c>
      <c r="I143" s="4">
        <f t="shared" si="7"/>
        <v>0</v>
      </c>
      <c r="J143" s="27">
        <f>RDG!I23</f>
        <v>2101636</v>
      </c>
      <c r="K143" s="27">
        <f>RDG!J23</f>
        <v>2444049</v>
      </c>
    </row>
    <row r="144" spans="4:11" ht="12.75">
      <c r="D144" s="4" t="s">
        <v>794</v>
      </c>
      <c r="E144" s="4">
        <v>2</v>
      </c>
      <c r="F144" s="4">
        <f>RDG!G24</f>
        <v>143</v>
      </c>
      <c r="G144" s="4">
        <f>IF(RDG!H24=0,"",RDG!H24)</f>
      </c>
      <c r="H144" s="26">
        <f t="shared" si="6"/>
        <v>24664996.07</v>
      </c>
      <c r="I144" s="4">
        <f t="shared" si="7"/>
        <v>0</v>
      </c>
      <c r="J144" s="27">
        <f>RDG!I24</f>
        <v>5674517</v>
      </c>
      <c r="K144" s="27">
        <f>RDG!J24</f>
        <v>5786866</v>
      </c>
    </row>
    <row r="145" spans="4:11" ht="12.75">
      <c r="D145" s="4" t="s">
        <v>794</v>
      </c>
      <c r="E145" s="4">
        <v>2</v>
      </c>
      <c r="F145" s="4">
        <f>RDG!G25</f>
        <v>144</v>
      </c>
      <c r="G145" s="4">
        <f>IF(RDG!H25=0,"",RDG!H25)</f>
      </c>
      <c r="H145" s="26">
        <f t="shared" si="6"/>
        <v>22736918.880000003</v>
      </c>
      <c r="I145" s="4">
        <f t="shared" si="7"/>
        <v>0</v>
      </c>
      <c r="J145" s="27">
        <f>RDG!I25</f>
        <v>5218953</v>
      </c>
      <c r="K145" s="27">
        <f>RDG!J25</f>
        <v>5285287</v>
      </c>
    </row>
    <row r="146" spans="4:11" ht="12.75">
      <c r="D146" s="4" t="s">
        <v>794</v>
      </c>
      <c r="E146" s="4">
        <v>2</v>
      </c>
      <c r="F146" s="4">
        <f>RDG!G26</f>
        <v>145</v>
      </c>
      <c r="G146" s="4">
        <f>IF(RDG!H26=0,"",RDG!H26)</f>
      </c>
      <c r="H146" s="26">
        <f t="shared" si="6"/>
        <v>3955676.85</v>
      </c>
      <c r="I146" s="4">
        <f t="shared" si="7"/>
        <v>0</v>
      </c>
      <c r="J146" s="27">
        <f>RDG!I26</f>
        <v>779383</v>
      </c>
      <c r="K146" s="27">
        <f>RDG!J26</f>
        <v>974335</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4010237.91</v>
      </c>
      <c r="I148" s="4">
        <f t="shared" si="7"/>
        <v>0</v>
      </c>
      <c r="J148" s="27">
        <f>RDG!I28</f>
        <v>779383</v>
      </c>
      <c r="K148" s="27">
        <f>RDG!J28</f>
        <v>974335</v>
      </c>
    </row>
    <row r="149" spans="4:11" ht="12.75">
      <c r="D149" s="4" t="s">
        <v>794</v>
      </c>
      <c r="E149" s="4">
        <v>2</v>
      </c>
      <c r="F149" s="4">
        <f>RDG!G29</f>
        <v>148</v>
      </c>
      <c r="G149" s="4">
        <f>IF(RDG!H29=0,"",RDG!H29)</f>
      </c>
      <c r="H149" s="26">
        <f t="shared" si="6"/>
        <v>1383691.9600000002</v>
      </c>
      <c r="I149" s="4">
        <f t="shared" si="7"/>
        <v>0</v>
      </c>
      <c r="J149" s="27">
        <f>RDG!I29</f>
        <v>86399</v>
      </c>
      <c r="K149" s="27">
        <f>RDG!J29</f>
        <v>424264</v>
      </c>
    </row>
    <row r="150" spans="4:11" ht="12.75">
      <c r="D150" s="4" t="s">
        <v>794</v>
      </c>
      <c r="E150" s="4">
        <v>2</v>
      </c>
      <c r="F150" s="4">
        <f>RDG!G30</f>
        <v>149</v>
      </c>
      <c r="G150" s="4">
        <f>IF(RDG!H30=0,"",RDG!H30)</f>
      </c>
      <c r="H150" s="26">
        <f t="shared" si="6"/>
        <v>427089.13</v>
      </c>
      <c r="I150" s="4">
        <f t="shared" si="7"/>
        <v>0</v>
      </c>
      <c r="J150" s="27">
        <f>RDG!I30</f>
        <v>86399</v>
      </c>
      <c r="K150" s="27">
        <f>RDG!J30</f>
        <v>100119</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978917.8999999999</v>
      </c>
      <c r="I152" s="4">
        <f t="shared" si="7"/>
        <v>0</v>
      </c>
      <c r="J152" s="27">
        <f>RDG!I32</f>
        <v>0</v>
      </c>
      <c r="K152" s="27">
        <f>RDG!J32</f>
        <v>324145</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929308.7</v>
      </c>
      <c r="I156" s="4">
        <f t="shared" si="7"/>
        <v>0</v>
      </c>
      <c r="J156" s="27">
        <f>RDG!I36</f>
        <v>281864</v>
      </c>
      <c r="K156" s="27">
        <f>RDG!J36</f>
        <v>158845</v>
      </c>
    </row>
    <row r="157" spans="4:11" ht="12.75">
      <c r="D157" s="4" t="s">
        <v>794</v>
      </c>
      <c r="E157" s="4">
        <v>2</v>
      </c>
      <c r="F157" s="4">
        <f>RDG!G37</f>
        <v>156</v>
      </c>
      <c r="G157" s="4">
        <f>IF(RDG!H37=0,"",RDG!H37)</f>
      </c>
      <c r="H157" s="26">
        <f t="shared" si="6"/>
        <v>6308685.24</v>
      </c>
      <c r="I157" s="4">
        <f t="shared" si="7"/>
        <v>0</v>
      </c>
      <c r="J157" s="27">
        <f>RDG!I37</f>
        <v>868711</v>
      </c>
      <c r="K157" s="27">
        <f>RDG!J37</f>
        <v>1587659</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6247103.7700000005</v>
      </c>
      <c r="I164" s="4">
        <f t="shared" si="7"/>
        <v>0</v>
      </c>
      <c r="J164" s="27">
        <f>RDG!I44</f>
        <v>839691</v>
      </c>
      <c r="K164" s="27">
        <f>RDG!J44</f>
        <v>1496444</v>
      </c>
    </row>
    <row r="165" spans="4:11" ht="12.75">
      <c r="D165" s="4" t="s">
        <v>794</v>
      </c>
      <c r="E165" s="4">
        <v>2</v>
      </c>
      <c r="F165" s="4">
        <f>RDG!G45</f>
        <v>164</v>
      </c>
      <c r="G165" s="4">
        <f>IF(RDG!H45=0,"",RDG!H45)</f>
      </c>
      <c r="H165" s="26">
        <f t="shared" si="6"/>
        <v>68174.79999999999</v>
      </c>
      <c r="I165" s="4">
        <f t="shared" si="7"/>
        <v>0</v>
      </c>
      <c r="J165" s="27">
        <f>RDG!I45</f>
        <v>29020</v>
      </c>
      <c r="K165" s="27">
        <f>RDG!J45</f>
        <v>6275</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282000.8</v>
      </c>
      <c r="I167" s="4">
        <f t="shared" si="7"/>
        <v>0</v>
      </c>
      <c r="J167" s="27">
        <f>RDG!I47</f>
        <v>0</v>
      </c>
      <c r="K167" s="27">
        <f>RDG!J47</f>
        <v>84940</v>
      </c>
    </row>
    <row r="168" spans="4:11" ht="12.75">
      <c r="D168" s="4" t="s">
        <v>794</v>
      </c>
      <c r="E168" s="4">
        <v>2</v>
      </c>
      <c r="F168" s="4">
        <f>RDG!G48</f>
        <v>167</v>
      </c>
      <c r="G168" s="4">
        <f>IF(RDG!H48=0,"",RDG!H48)</f>
      </c>
      <c r="H168" s="26">
        <f t="shared" si="6"/>
        <v>12527790.57</v>
      </c>
      <c r="I168" s="4">
        <f t="shared" si="7"/>
        <v>0</v>
      </c>
      <c r="J168" s="27">
        <f>RDG!I48</f>
        <v>2119945</v>
      </c>
      <c r="K168" s="27">
        <f>RDG!J48</f>
        <v>2690863</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12692130.3</v>
      </c>
      <c r="I171" s="4">
        <f t="shared" si="7"/>
        <v>0</v>
      </c>
      <c r="J171" s="27">
        <f>RDG!I51</f>
        <v>2119165</v>
      </c>
      <c r="K171" s="27">
        <f>RDG!J51</f>
        <v>2673397</v>
      </c>
    </row>
    <row r="172" spans="4:11" ht="12.75">
      <c r="D172" s="4" t="s">
        <v>794</v>
      </c>
      <c r="E172" s="4">
        <v>2</v>
      </c>
      <c r="F172" s="4">
        <f>RDG!G52</f>
        <v>171</v>
      </c>
      <c r="G172" s="4">
        <f>IF(RDG!H52=0,"",RDG!H52)</f>
      </c>
      <c r="H172" s="26">
        <f t="shared" si="6"/>
        <v>61067.520000000004</v>
      </c>
      <c r="I172" s="4">
        <f t="shared" si="7"/>
        <v>0</v>
      </c>
      <c r="J172" s="27">
        <f>RDG!I52</f>
        <v>780</v>
      </c>
      <c r="K172" s="27">
        <f>RDG!J52</f>
        <v>17466</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398336826.6</v>
      </c>
      <c r="I180" s="4">
        <f t="shared" si="7"/>
        <v>0</v>
      </c>
      <c r="J180" s="27">
        <f>RDG!I60</f>
        <v>55025490</v>
      </c>
      <c r="K180" s="27">
        <f>RDG!J60</f>
        <v>83754525</v>
      </c>
    </row>
    <row r="181" spans="4:11" ht="12.75">
      <c r="D181" s="4" t="s">
        <v>794</v>
      </c>
      <c r="E181" s="4">
        <v>2</v>
      </c>
      <c r="F181" s="4">
        <f>RDG!G61</f>
        <v>180</v>
      </c>
      <c r="G181" s="4">
        <f>IF(RDG!H61=0,"",RDG!H61)</f>
      </c>
      <c r="H181" s="26">
        <f t="shared" si="6"/>
        <v>331373971.8</v>
      </c>
      <c r="I181" s="4">
        <f t="shared" si="7"/>
        <v>0</v>
      </c>
      <c r="J181" s="27">
        <f>RDG!I61</f>
        <v>48760145</v>
      </c>
      <c r="K181" s="27">
        <f>RDG!J61</f>
        <v>67668253</v>
      </c>
    </row>
    <row r="182" spans="4:11" ht="12.75">
      <c r="D182" s="4" t="s">
        <v>794</v>
      </c>
      <c r="E182" s="4">
        <v>2</v>
      </c>
      <c r="F182" s="4">
        <f>RDG!G62</f>
        <v>181</v>
      </c>
      <c r="G182" s="4">
        <f>IF(RDG!H62=0,"",RDG!H62)</f>
      </c>
      <c r="H182" s="26">
        <f t="shared" si="6"/>
        <v>69572579.09</v>
      </c>
      <c r="I182" s="4">
        <f t="shared" si="7"/>
        <v>0</v>
      </c>
      <c r="J182" s="27">
        <f>RDG!I62</f>
        <v>6265345</v>
      </c>
      <c r="K182" s="27">
        <f>RDG!J62</f>
        <v>16086272</v>
      </c>
    </row>
    <row r="183" spans="4:11" ht="12.75">
      <c r="D183" s="4" t="s">
        <v>794</v>
      </c>
      <c r="E183" s="4">
        <v>2</v>
      </c>
      <c r="F183" s="4">
        <f>RDG!G63</f>
        <v>182</v>
      </c>
      <c r="G183" s="4">
        <f>IF(RDG!H63=0,"",RDG!H63)</f>
      </c>
      <c r="H183" s="26">
        <f t="shared" si="6"/>
        <v>69956957.98</v>
      </c>
      <c r="I183" s="4">
        <f t="shared" si="7"/>
        <v>0</v>
      </c>
      <c r="J183" s="27">
        <f>RDG!I63</f>
        <v>6265345</v>
      </c>
      <c r="K183" s="27">
        <f>RDG!J63</f>
        <v>16086272</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13120559.760000002</v>
      </c>
      <c r="I185" s="4">
        <f t="shared" si="7"/>
        <v>0</v>
      </c>
      <c r="J185" s="27">
        <f>RDG!I65</f>
        <v>1170129</v>
      </c>
      <c r="K185" s="27">
        <f>RDG!J65</f>
        <v>2980305</v>
      </c>
    </row>
    <row r="186" spans="4:11" ht="12.75">
      <c r="D186" s="4" t="s">
        <v>794</v>
      </c>
      <c r="E186" s="4">
        <v>2</v>
      </c>
      <c r="F186" s="4">
        <f>RDG!G66</f>
        <v>185</v>
      </c>
      <c r="G186" s="4">
        <f>IF(RDG!H66=0,"",RDG!H66)</f>
      </c>
      <c r="H186" s="26">
        <f t="shared" si="6"/>
        <v>57918227.5</v>
      </c>
      <c r="I186" s="4">
        <f t="shared" si="7"/>
        <v>0</v>
      </c>
      <c r="J186" s="27">
        <f>RDG!I66</f>
        <v>5095216</v>
      </c>
      <c r="K186" s="27">
        <f>RDG!J66</f>
        <v>13105967</v>
      </c>
    </row>
    <row r="187" spans="4:11" ht="12.75">
      <c r="D187" s="4" t="s">
        <v>794</v>
      </c>
      <c r="E187" s="4">
        <v>2</v>
      </c>
      <c r="F187" s="4">
        <f>RDG!G67</f>
        <v>186</v>
      </c>
      <c r="G187" s="4">
        <f>IF(RDG!H67=0,"",RDG!H67)</f>
      </c>
      <c r="H187" s="26">
        <f t="shared" si="6"/>
        <v>58231299</v>
      </c>
      <c r="I187" s="4">
        <f t="shared" si="7"/>
        <v>0</v>
      </c>
      <c r="J187" s="27">
        <f>RDG!I67</f>
        <v>5095216</v>
      </c>
      <c r="K187" s="27">
        <f>RDG!J67</f>
        <v>13105967</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384378.89</v>
      </c>
      <c r="I299" s="4">
        <f t="shared" si="17"/>
        <v>0</v>
      </c>
      <c r="J299" s="27">
        <f>NT_I!I9</f>
        <v>6265345</v>
      </c>
      <c r="K299" s="27">
        <f>NT_I!J9</f>
        <v>16086272</v>
      </c>
    </row>
    <row r="300" spans="4:11" ht="12.75">
      <c r="D300" s="4" t="s">
        <v>556</v>
      </c>
      <c r="E300" s="4">
        <v>4</v>
      </c>
      <c r="F300" s="4">
        <f>NT_I!G10</f>
        <v>2</v>
      </c>
      <c r="G300" s="4">
        <f>IF(NT_I!H10&lt;&gt;"",NT_I!H10,"")</f>
      </c>
      <c r="H300" s="26">
        <f t="shared" si="16"/>
        <v>51174.100000000006</v>
      </c>
      <c r="I300" s="4">
        <f t="shared" si="17"/>
        <v>0</v>
      </c>
      <c r="J300" s="27">
        <f>NT_I!I10</f>
        <v>7350671</v>
      </c>
      <c r="K300" s="27">
        <f>NT_I!J10</f>
        <v>-2395983</v>
      </c>
    </row>
    <row r="301" spans="4:11" ht="12.75">
      <c r="D301" s="4" t="s">
        <v>556</v>
      </c>
      <c r="E301" s="4">
        <v>4</v>
      </c>
      <c r="F301" s="4">
        <f>NT_I!G11</f>
        <v>3</v>
      </c>
      <c r="G301" s="4">
        <f>IF(NT_I!H11&lt;&gt;"",NT_I!H11,"")</f>
      </c>
      <c r="H301" s="26">
        <f t="shared" si="16"/>
        <v>517447.47000000003</v>
      </c>
      <c r="I301" s="4">
        <f t="shared" si="17"/>
        <v>0</v>
      </c>
      <c r="J301" s="27">
        <f>NT_I!I11</f>
        <v>5674517</v>
      </c>
      <c r="K301" s="27">
        <f>NT_I!J11</f>
        <v>5786866</v>
      </c>
    </row>
    <row r="302" spans="4:11" ht="12.75">
      <c r="D302" s="4" t="s">
        <v>556</v>
      </c>
      <c r="E302" s="4">
        <v>4</v>
      </c>
      <c r="F302" s="4">
        <f>NT_I!G12</f>
        <v>4</v>
      </c>
      <c r="G302" s="4">
        <f>IF(NT_I!H12&lt;&gt;"",NT_I!H12,"")</f>
      </c>
      <c r="H302" s="26">
        <f aca="true" t="shared" si="18" ref="H302:H340">J302/100*F302+2*K302/100*F302</f>
        <v>-866802.24</v>
      </c>
      <c r="I302" s="4">
        <f aca="true" t="shared" si="19" ref="I302:I340">ABS(ROUND(J302,0)-J302)+ABS(ROUND(K302,0)-K302)</f>
        <v>0</v>
      </c>
      <c r="J302" s="27">
        <f>NT_I!I12</f>
        <v>-46758</v>
      </c>
      <c r="K302" s="27">
        <f>NT_I!J12</f>
        <v>-10811649</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-231695.94</v>
      </c>
      <c r="I304" s="4">
        <f t="shared" si="19"/>
        <v>0</v>
      </c>
      <c r="J304" s="27">
        <f>NT_I!I14</f>
        <v>-868711</v>
      </c>
      <c r="K304" s="27">
        <f>NT_I!J14</f>
        <v>-1496444</v>
      </c>
    </row>
    <row r="305" spans="4:11" ht="12.75">
      <c r="D305" s="4" t="s">
        <v>556</v>
      </c>
      <c r="E305" s="4">
        <v>4</v>
      </c>
      <c r="F305" s="4">
        <f>NT_I!G15</f>
        <v>7</v>
      </c>
      <c r="G305" s="4">
        <f>IF(NT_I!H15&lt;&gt;"",NT_I!H15,"")</f>
      </c>
      <c r="H305" s="26">
        <f t="shared" si="18"/>
        <v>522617.13</v>
      </c>
      <c r="I305" s="4">
        <f t="shared" si="19"/>
        <v>0</v>
      </c>
      <c r="J305" s="27">
        <f>NT_I!I15</f>
        <v>2119165</v>
      </c>
      <c r="K305" s="27">
        <f>NT_I!J15</f>
        <v>2673397</v>
      </c>
    </row>
    <row r="306" spans="4:11" ht="12.75">
      <c r="D306" s="4" t="s">
        <v>556</v>
      </c>
      <c r="E306" s="4">
        <v>4</v>
      </c>
      <c r="F306" s="4">
        <f>NT_I!G16</f>
        <v>8</v>
      </c>
      <c r="G306" s="4">
        <f>IF(NT_I!H16&lt;&gt;"",NT_I!H16,"")</f>
      </c>
      <c r="H306" s="26">
        <f t="shared" si="18"/>
        <v>74794.16</v>
      </c>
      <c r="I306" s="4">
        <f t="shared" si="19"/>
        <v>0</v>
      </c>
      <c r="J306" s="27">
        <f>NT_I!I16</f>
        <v>86399</v>
      </c>
      <c r="K306" s="27">
        <f>NT_I!J16</f>
        <v>424264</v>
      </c>
    </row>
    <row r="307" spans="4:11" ht="12.75">
      <c r="D307" s="4" t="s">
        <v>556</v>
      </c>
      <c r="E307" s="4">
        <v>4</v>
      </c>
      <c r="F307" s="4">
        <f>NT_I!G17</f>
        <v>9</v>
      </c>
      <c r="G307" s="4">
        <f>IF(NT_I!H17&lt;&gt;"",NT_I!H17,"")</f>
      </c>
      <c r="H307" s="26">
        <f t="shared" si="18"/>
        <v>226.52999999999997</v>
      </c>
      <c r="I307" s="4">
        <f t="shared" si="19"/>
        <v>0</v>
      </c>
      <c r="J307" s="27">
        <f>NT_I!I17</f>
        <v>-19867</v>
      </c>
      <c r="K307" s="27">
        <f>NT_I!J17</f>
        <v>11192</v>
      </c>
    </row>
    <row r="308" spans="4:11" ht="12.75">
      <c r="D308" s="4" t="s">
        <v>556</v>
      </c>
      <c r="E308" s="4">
        <v>4</v>
      </c>
      <c r="F308" s="4">
        <f>NT_I!G18</f>
        <v>10</v>
      </c>
      <c r="G308" s="4">
        <f>IF(NT_I!H18&lt;&gt;"",NT_I!H18,"")</f>
      </c>
      <c r="H308" s="26">
        <f t="shared" si="18"/>
        <v>243870.80000000002</v>
      </c>
      <c r="I308" s="4">
        <f t="shared" si="19"/>
        <v>0</v>
      </c>
      <c r="J308" s="27">
        <f>NT_I!I18</f>
        <v>405926</v>
      </c>
      <c r="K308" s="27">
        <f>NT_I!J18</f>
        <v>1016391</v>
      </c>
    </row>
    <row r="309" spans="4:11" ht="12.75">
      <c r="D309" s="4" t="s">
        <v>556</v>
      </c>
      <c r="E309" s="4">
        <v>4</v>
      </c>
      <c r="F309" s="4">
        <f>NT_I!G19</f>
        <v>11</v>
      </c>
      <c r="G309" s="4">
        <f>IF(NT_I!H19&lt;&gt;"",NT_I!H19,"")</f>
      </c>
      <c r="H309" s="26">
        <f t="shared" si="18"/>
        <v>4509625.34</v>
      </c>
      <c r="I309" s="4">
        <f t="shared" si="19"/>
        <v>0</v>
      </c>
      <c r="J309" s="27">
        <f>NT_I!I19</f>
        <v>13616016</v>
      </c>
      <c r="K309" s="27">
        <f>NT_I!J19</f>
        <v>13690289</v>
      </c>
    </row>
    <row r="310" spans="4:11" ht="12.75">
      <c r="D310" s="4" t="s">
        <v>556</v>
      </c>
      <c r="E310" s="4">
        <v>4</v>
      </c>
      <c r="F310" s="4">
        <f>NT_I!G20</f>
        <v>12</v>
      </c>
      <c r="G310" s="4">
        <f>IF(NT_I!H20&lt;&gt;"",NT_I!H20,"")</f>
      </c>
      <c r="H310" s="26">
        <f t="shared" si="18"/>
        <v>407267.0399999998</v>
      </c>
      <c r="I310" s="4">
        <f t="shared" si="19"/>
        <v>0</v>
      </c>
      <c r="J310" s="27">
        <f>NT_I!I20</f>
        <v>-7556398</v>
      </c>
      <c r="K310" s="27">
        <f>NT_I!J20</f>
        <v>5475145</v>
      </c>
    </row>
    <row r="311" spans="4:11" ht="12.75">
      <c r="D311" s="4" t="s">
        <v>556</v>
      </c>
      <c r="E311" s="4">
        <v>4</v>
      </c>
      <c r="F311" s="4">
        <f>NT_I!G21</f>
        <v>13</v>
      </c>
      <c r="G311" s="4">
        <f>IF(NT_I!H21&lt;&gt;"",NT_I!H21,"")</f>
      </c>
      <c r="H311" s="26">
        <f t="shared" si="18"/>
        <v>-1470209.65</v>
      </c>
      <c r="I311" s="4">
        <f t="shared" si="19"/>
        <v>0</v>
      </c>
      <c r="J311" s="27">
        <f>NT_I!I21</f>
        <v>-14319375</v>
      </c>
      <c r="K311" s="27">
        <f>NT_I!J21</f>
        <v>1505035</v>
      </c>
    </row>
    <row r="312" spans="4:11" ht="12.75">
      <c r="D312" s="4" t="s">
        <v>556</v>
      </c>
      <c r="E312" s="4">
        <v>4</v>
      </c>
      <c r="F312" s="4">
        <f>NT_I!G22</f>
        <v>14</v>
      </c>
      <c r="G312" s="4">
        <f>IF(NT_I!H22&lt;&gt;"",NT_I!H22,"")</f>
      </c>
      <c r="H312" s="26">
        <f t="shared" si="18"/>
        <v>2062807.8800000001</v>
      </c>
      <c r="I312" s="4">
        <f t="shared" si="19"/>
        <v>0</v>
      </c>
      <c r="J312" s="27">
        <f>NT_I!I22</f>
        <v>6740998</v>
      </c>
      <c r="K312" s="27">
        <f>NT_I!J22</f>
        <v>3996672</v>
      </c>
    </row>
    <row r="313" spans="4:11" ht="12.75">
      <c r="D313" s="4" t="s">
        <v>556</v>
      </c>
      <c r="E313" s="4">
        <v>4</v>
      </c>
      <c r="F313" s="4">
        <f>NT_I!G23</f>
        <v>15</v>
      </c>
      <c r="G313" s="4">
        <f>IF(NT_I!H23&lt;&gt;"",NT_I!H23,"")</f>
      </c>
      <c r="H313" s="26">
        <f t="shared" si="18"/>
        <v>-4671.75</v>
      </c>
      <c r="I313" s="4">
        <f t="shared" si="19"/>
        <v>0</v>
      </c>
      <c r="J313" s="27">
        <f>NT_I!I23</f>
        <v>21979</v>
      </c>
      <c r="K313" s="27">
        <f>NT_I!J23</f>
        <v>-26562</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7546382.619999999</v>
      </c>
      <c r="I315" s="4">
        <f t="shared" si="19"/>
        <v>0</v>
      </c>
      <c r="J315" s="27">
        <f>NT_I!I25</f>
        <v>6059618</v>
      </c>
      <c r="K315" s="27">
        <f>NT_I!J25</f>
        <v>19165434</v>
      </c>
    </row>
    <row r="316" spans="4:11" ht="12.75">
      <c r="D316" s="4" t="s">
        <v>556</v>
      </c>
      <c r="E316" s="4">
        <v>4</v>
      </c>
      <c r="F316" s="4">
        <f>NT_I!G26</f>
        <v>18</v>
      </c>
      <c r="G316" s="4">
        <f>IF(NT_I!H26&lt;&gt;"",NT_I!H26,"")</f>
      </c>
      <c r="H316" s="26">
        <f t="shared" si="18"/>
        <v>-1263604.32</v>
      </c>
      <c r="I316" s="4">
        <f t="shared" si="19"/>
        <v>0</v>
      </c>
      <c r="J316" s="27">
        <f>NT_I!I26</f>
        <v>-2119166</v>
      </c>
      <c r="K316" s="27">
        <f>NT_I!J26</f>
        <v>-2450429</v>
      </c>
    </row>
    <row r="317" spans="4:11" ht="12.75">
      <c r="D317" s="4" t="s">
        <v>556</v>
      </c>
      <c r="E317" s="4">
        <v>4</v>
      </c>
      <c r="F317" s="4">
        <f>NT_I!G27</f>
        <v>19</v>
      </c>
      <c r="G317" s="4">
        <f>IF(NT_I!H27&lt;&gt;"",NT_I!H27,"")</f>
      </c>
      <c r="H317" s="26">
        <f t="shared" si="18"/>
        <v>-363150.04000000004</v>
      </c>
      <c r="I317" s="4">
        <f t="shared" si="19"/>
        <v>0</v>
      </c>
      <c r="J317" s="27">
        <f>NT_I!I27</f>
        <v>-790876</v>
      </c>
      <c r="K317" s="27">
        <f>NT_I!J27</f>
        <v>-560220</v>
      </c>
    </row>
    <row r="318" spans="4:11" ht="12.75">
      <c r="D318" s="4" t="s">
        <v>556</v>
      </c>
      <c r="E318" s="4">
        <v>4</v>
      </c>
      <c r="F318" s="4">
        <f>NT_I!G28</f>
        <v>20</v>
      </c>
      <c r="G318" s="4">
        <f>IF(NT_I!H28&lt;&gt;"",NT_I!H28,"")</f>
      </c>
      <c r="H318" s="26">
        <f t="shared" si="18"/>
        <v>7091829.2</v>
      </c>
      <c r="I318" s="4">
        <f t="shared" si="19"/>
        <v>0</v>
      </c>
      <c r="J318" s="27">
        <f>NT_I!I28</f>
        <v>3149576</v>
      </c>
      <c r="K318" s="27">
        <f>NT_I!J28</f>
        <v>16154785</v>
      </c>
    </row>
    <row r="319" spans="4:11" ht="12.75">
      <c r="D319" s="4" t="s">
        <v>556</v>
      </c>
      <c r="E319" s="4">
        <v>4</v>
      </c>
      <c r="F319" s="4">
        <f>NT_I!G30</f>
        <v>21</v>
      </c>
      <c r="G319" s="4">
        <f>IF(NT_I!H30&lt;&gt;"",NT_I!H30,"")</f>
      </c>
      <c r="H319" s="26">
        <f t="shared" si="18"/>
        <v>16489223.73</v>
      </c>
      <c r="I319" s="4">
        <f t="shared" si="19"/>
        <v>0</v>
      </c>
      <c r="J319" s="27">
        <f>NT_I!I30</f>
        <v>175213</v>
      </c>
      <c r="K319" s="27">
        <f>NT_I!J30</f>
        <v>39172450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777584.92</v>
      </c>
      <c r="I321" s="4">
        <f t="shared" si="19"/>
        <v>0</v>
      </c>
      <c r="J321" s="27">
        <f>NT_I!I32</f>
        <v>0</v>
      </c>
      <c r="K321" s="27">
        <f>NT_I!J32</f>
        <v>1690402</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6252056.2</v>
      </c>
      <c r="I324" s="4">
        <f t="shared" si="19"/>
        <v>0</v>
      </c>
      <c r="J324" s="27">
        <f>NT_I!I35</f>
        <v>0</v>
      </c>
      <c r="K324" s="27">
        <f>NT_I!J35</f>
        <v>12023185</v>
      </c>
    </row>
    <row r="325" spans="4:11" ht="12.75">
      <c r="D325" s="4" t="s">
        <v>556</v>
      </c>
      <c r="E325" s="4">
        <v>4</v>
      </c>
      <c r="F325" s="4">
        <f>NT_I!G36</f>
        <v>27</v>
      </c>
      <c r="G325" s="4">
        <f>IF(NT_I!H36&lt;&gt;"",NT_I!H36,"")</f>
      </c>
      <c r="H325" s="26">
        <f t="shared" si="18"/>
        <v>28605767.490000002</v>
      </c>
      <c r="I325" s="4">
        <f t="shared" si="19"/>
        <v>0</v>
      </c>
      <c r="J325" s="27">
        <f>NT_I!I36</f>
        <v>175213</v>
      </c>
      <c r="K325" s="27">
        <f>NT_I!J36</f>
        <v>52886037</v>
      </c>
    </row>
    <row r="326" spans="4:11" ht="12.75">
      <c r="D326" s="4" t="s">
        <v>556</v>
      </c>
      <c r="E326" s="4">
        <v>4</v>
      </c>
      <c r="F326" s="4">
        <f>NT_I!G37</f>
        <v>28</v>
      </c>
      <c r="G326" s="4">
        <f>IF(NT_I!H37&lt;&gt;"",NT_I!H37,"")</f>
      </c>
      <c r="H326" s="26">
        <f t="shared" si="18"/>
        <v>-2415638.4</v>
      </c>
      <c r="I326" s="4">
        <f t="shared" si="19"/>
        <v>0</v>
      </c>
      <c r="J326" s="27">
        <f>NT_I!I37</f>
        <v>-2261366</v>
      </c>
      <c r="K326" s="27">
        <f>NT_I!J37</f>
        <v>-3182957</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-2847002.4000000004</v>
      </c>
      <c r="I331" s="4">
        <f t="shared" si="19"/>
        <v>0</v>
      </c>
      <c r="J331" s="27">
        <f>NT_I!I42</f>
        <v>-2261366</v>
      </c>
      <c r="K331" s="27">
        <f>NT_I!J42</f>
        <v>-3182957</v>
      </c>
    </row>
    <row r="332" spans="4:11" ht="12.75">
      <c r="D332" s="4" t="s">
        <v>556</v>
      </c>
      <c r="E332" s="4">
        <v>4</v>
      </c>
      <c r="F332" s="4">
        <f>NT_I!G43</f>
        <v>34</v>
      </c>
      <c r="G332" s="4">
        <f>IF(NT_I!H43&lt;&gt;"",NT_I!H43,"")</f>
      </c>
      <c r="H332" s="26">
        <f t="shared" si="18"/>
        <v>33088802.38</v>
      </c>
      <c r="I332" s="4">
        <f t="shared" si="19"/>
        <v>0</v>
      </c>
      <c r="J332" s="27">
        <f>NT_I!I43</f>
        <v>-2086153</v>
      </c>
      <c r="K332" s="27">
        <f>NT_I!J43</f>
        <v>49703080</v>
      </c>
    </row>
    <row r="333" spans="4:11" ht="12.75">
      <c r="D333" s="4" t="s">
        <v>556</v>
      </c>
      <c r="E333" s="4">
        <v>4</v>
      </c>
      <c r="F333" s="4">
        <f>NT_I!G45</f>
        <v>35</v>
      </c>
      <c r="G333" s="4">
        <f>IF(NT_I!H45&lt;&gt;"",NT_I!H45,"")</f>
      </c>
      <c r="H333" s="26">
        <f t="shared" si="18"/>
        <v>5292758.800000001</v>
      </c>
      <c r="I333" s="4">
        <f t="shared" si="19"/>
        <v>0</v>
      </c>
      <c r="J333" s="27">
        <f>NT_I!I45</f>
        <v>5229836</v>
      </c>
      <c r="K333" s="27">
        <f>NT_I!J45</f>
        <v>4946166</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261766.86</v>
      </c>
      <c r="I335" s="4">
        <f t="shared" si="19"/>
        <v>0</v>
      </c>
      <c r="J335" s="27">
        <f>NT_I!I47</f>
        <v>0</v>
      </c>
      <c r="K335" s="27">
        <f>NT_I!J47</f>
        <v>353739</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6173561.94</v>
      </c>
      <c r="I337" s="4">
        <f t="shared" si="19"/>
        <v>0</v>
      </c>
      <c r="J337" s="27">
        <f>NT_I!I49</f>
        <v>5229836</v>
      </c>
      <c r="K337" s="27">
        <f>NT_I!J49</f>
        <v>5299905</v>
      </c>
    </row>
    <row r="338" spans="4:11" ht="12.75">
      <c r="D338" s="4" t="s">
        <v>556</v>
      </c>
      <c r="E338" s="4">
        <v>4</v>
      </c>
      <c r="F338" s="4">
        <f>NT_I!G50</f>
        <v>40</v>
      </c>
      <c r="G338" s="4">
        <f>IF(NT_I!H50&lt;&gt;"",NT_I!H50,"")</f>
      </c>
      <c r="H338" s="26">
        <f t="shared" si="18"/>
        <v>-21843753.200000003</v>
      </c>
      <c r="I338" s="4">
        <f t="shared" si="19"/>
        <v>0</v>
      </c>
      <c r="J338" s="27">
        <f>NT_I!I50</f>
        <v>-7501559</v>
      </c>
      <c r="K338" s="27">
        <f>NT_I!J50</f>
        <v>-23553912</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-24574222.35</v>
      </c>
      <c r="I343" s="4">
        <f t="shared" si="21"/>
        <v>0</v>
      </c>
      <c r="J343" s="27">
        <f>NT_I!I55</f>
        <v>-7501559</v>
      </c>
      <c r="K343" s="27">
        <f>NT_I!J55</f>
        <v>-23553912</v>
      </c>
    </row>
    <row r="344" spans="4:11" ht="12.75">
      <c r="D344" s="4" t="s">
        <v>556</v>
      </c>
      <c r="E344" s="4">
        <v>4</v>
      </c>
      <c r="F344" s="4">
        <f>NT_I!G56</f>
        <v>46</v>
      </c>
      <c r="G344" s="4">
        <f>IF(NT_I!H56&lt;&gt;"",NT_I!H56,"")</f>
      </c>
      <c r="H344" s="26">
        <f t="shared" si="20"/>
        <v>-17838679.02</v>
      </c>
      <c r="I344" s="4">
        <f t="shared" si="21"/>
        <v>0</v>
      </c>
      <c r="J344" s="27">
        <f>NT_I!I56</f>
        <v>-2271723</v>
      </c>
      <c r="K344" s="27">
        <f>NT_I!J56</f>
        <v>-18254007</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45119719.68</v>
      </c>
      <c r="I346" s="4">
        <f t="shared" si="21"/>
        <v>0</v>
      </c>
      <c r="J346" s="27">
        <f>NT_I!I58</f>
        <v>-1208300</v>
      </c>
      <c r="K346" s="27">
        <f>NT_I!J58</f>
        <v>47603858</v>
      </c>
    </row>
    <row r="347" spans="4:11" ht="12.75">
      <c r="D347" s="4" t="s">
        <v>556</v>
      </c>
      <c r="E347" s="4">
        <v>4</v>
      </c>
      <c r="F347" s="4">
        <f>NT_I!G59</f>
        <v>49</v>
      </c>
      <c r="G347" s="4">
        <f>IF(NT_I!H59&lt;&gt;"",NT_I!H59,"")</f>
      </c>
      <c r="H347" s="26">
        <f t="shared" si="20"/>
        <v>3249752.0300000003</v>
      </c>
      <c r="I347" s="4">
        <f t="shared" si="21"/>
        <v>0</v>
      </c>
      <c r="J347" s="27">
        <f>NT_I!I59</f>
        <v>3016249</v>
      </c>
      <c r="K347" s="27">
        <f>NT_I!J59</f>
        <v>1807949</v>
      </c>
    </row>
    <row r="348" spans="4:11" ht="12.75">
      <c r="D348" s="4" t="s">
        <v>556</v>
      </c>
      <c r="E348" s="4">
        <v>4</v>
      </c>
      <c r="F348" s="4">
        <f>NT_I!G60</f>
        <v>50</v>
      </c>
      <c r="G348" s="4">
        <f>IF(NT_I!H60&lt;&gt;"",NT_I!H60,"")</f>
      </c>
      <c r="H348" s="26">
        <f t="shared" si="20"/>
        <v>50315781.5</v>
      </c>
      <c r="I348" s="4">
        <f t="shared" si="21"/>
        <v>0</v>
      </c>
      <c r="J348" s="27">
        <f>NT_I!I60</f>
        <v>1807949</v>
      </c>
      <c r="K348" s="27">
        <f>NT_I!J60</f>
        <v>49411807</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20735322.16</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30996500</v>
      </c>
      <c r="K393" s="27">
        <f>PK!J10</f>
        <v>123</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20596881</v>
      </c>
      <c r="X393" s="27">
        <f>PK!W10</f>
        <v>0</v>
      </c>
      <c r="Y393" s="27">
        <f>PK!X10</f>
        <v>51593504</v>
      </c>
      <c r="Z393" s="27">
        <f>PK!Y10</f>
        <v>0</v>
      </c>
      <c r="AA393" s="27">
        <f>PK!Z10</f>
        <v>51593504</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21665224.54</v>
      </c>
      <c r="I396" s="27">
        <f t="shared" si="25"/>
        <v>0</v>
      </c>
      <c r="J396" s="27">
        <f>PK!I13</f>
        <v>30996500</v>
      </c>
      <c r="K396" s="27">
        <f>PK!J13</f>
        <v>123</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20596881</v>
      </c>
      <c r="X396" s="27">
        <f>PK!W13</f>
        <v>0</v>
      </c>
      <c r="Y396" s="27">
        <f>PK!X13</f>
        <v>51593504</v>
      </c>
      <c r="Z396" s="27">
        <f>PK!Y13</f>
        <v>0</v>
      </c>
      <c r="AA396" s="27">
        <f>PK!Z13</f>
        <v>51593504</v>
      </c>
    </row>
    <row r="397" spans="4:27" ht="12.75">
      <c r="D397" s="4" t="s">
        <v>795</v>
      </c>
      <c r="E397" s="4">
        <v>6</v>
      </c>
      <c r="F397" s="4">
        <f>PK!G14</f>
        <v>5</v>
      </c>
      <c r="G397" s="4">
        <f>IF(PK!H14&lt;&gt;"",PK!H14,"")</f>
      </c>
      <c r="H397" s="26">
        <f t="shared" si="24"/>
        <v>2496655.84</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5095216</v>
      </c>
      <c r="Y397" s="27">
        <f>PK!X14</f>
        <v>5095216</v>
      </c>
      <c r="Z397" s="27">
        <f>PK!Y14</f>
        <v>0</v>
      </c>
      <c r="AA397" s="27">
        <f>PK!Z14</f>
        <v>5095216</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2771838.92</v>
      </c>
      <c r="I411" s="27">
        <f t="shared" si="25"/>
        <v>0</v>
      </c>
      <c r="J411" s="27">
        <f>PK!I28</f>
        <v>5229700</v>
      </c>
      <c r="K411" s="27">
        <f>PK!J28</f>
        <v>136</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5229836</v>
      </c>
      <c r="Z411" s="27">
        <f>PK!Y28</f>
        <v>0</v>
      </c>
      <c r="AA411" s="27">
        <f>PK!Z28</f>
        <v>5229836</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33394567.1</v>
      </c>
      <c r="I416" s="27">
        <f t="shared" si="25"/>
        <v>0</v>
      </c>
      <c r="J416" s="27">
        <f>PK!I33</f>
        <v>36226200</v>
      </c>
      <c r="K416" s="27">
        <f>PK!J33</f>
        <v>259</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20596881</v>
      </c>
      <c r="X416" s="27">
        <f>PK!W33</f>
        <v>5095216</v>
      </c>
      <c r="Y416" s="27">
        <f>PK!X33</f>
        <v>61918556</v>
      </c>
      <c r="Z416" s="27">
        <f>PK!Y33</f>
        <v>0</v>
      </c>
      <c r="AA416" s="27">
        <f>PK!Z33</f>
        <v>61918556</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34792683.66</v>
      </c>
      <c r="I420" s="27">
        <f t="shared" si="25"/>
        <v>0</v>
      </c>
      <c r="J420" s="27">
        <f>PK!I39</f>
        <v>36226200</v>
      </c>
      <c r="K420" s="27">
        <f>PK!J39</f>
        <v>259</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25692097</v>
      </c>
      <c r="X420" s="27">
        <f>PK!W39</f>
        <v>0</v>
      </c>
      <c r="Y420" s="27">
        <f>PK!X39</f>
        <v>61918556</v>
      </c>
      <c r="Z420" s="27">
        <f>PK!Y39</f>
        <v>0</v>
      </c>
      <c r="AA420" s="27">
        <f>PK!Z39</f>
        <v>61918556</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35879485.2</v>
      </c>
      <c r="I423" s="27">
        <f t="shared" si="25"/>
        <v>0</v>
      </c>
      <c r="J423" s="27">
        <f>PK!I42</f>
        <v>36226200</v>
      </c>
      <c r="K423" s="27">
        <f>PK!J42</f>
        <v>259</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25692097</v>
      </c>
      <c r="X423" s="27">
        <f>PK!W42</f>
        <v>0</v>
      </c>
      <c r="Y423" s="27">
        <f>PK!X42</f>
        <v>61918556</v>
      </c>
      <c r="Z423" s="27">
        <f>PK!Y42</f>
        <v>0</v>
      </c>
      <c r="AA423" s="27">
        <f>PK!Z42</f>
        <v>61918556</v>
      </c>
    </row>
    <row r="424" spans="4:27" ht="12.75">
      <c r="D424" s="4" t="s">
        <v>795</v>
      </c>
      <c r="E424" s="4">
        <v>6</v>
      </c>
      <c r="F424" s="4">
        <f>PK!G43</f>
        <v>32</v>
      </c>
      <c r="G424" s="4">
        <f>IF(PK!H43&lt;&gt;"",PK!H43,"")</f>
      </c>
      <c r="H424" s="26">
        <f t="shared" si="24"/>
        <v>6421923.83</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13105967</v>
      </c>
      <c r="Y424" s="27">
        <f>PK!X43</f>
        <v>13105967</v>
      </c>
      <c r="Z424" s="27">
        <f>PK!Y43</f>
        <v>0</v>
      </c>
      <c r="AA424" s="27">
        <f>PK!Z43</f>
        <v>13105967</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16141111.379999999</v>
      </c>
      <c r="I432" s="27">
        <f t="shared" si="25"/>
        <v>0</v>
      </c>
      <c r="J432" s="27">
        <f>PK!I51</f>
        <v>0</v>
      </c>
      <c r="K432" s="27">
        <f>PK!J51</f>
        <v>11429129</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6483134</v>
      </c>
      <c r="X432" s="27">
        <f>PK!W51</f>
        <v>0</v>
      </c>
      <c r="Y432" s="27">
        <f>PK!X51</f>
        <v>17912263</v>
      </c>
      <c r="Z432" s="27">
        <f>PK!Y51</f>
        <v>0</v>
      </c>
      <c r="AA432" s="27">
        <f>PK!Z51</f>
        <v>17912263</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7687002.859999999</v>
      </c>
      <c r="I438" s="27">
        <f t="shared" si="25"/>
        <v>0</v>
      </c>
      <c r="J438" s="27">
        <f>PK!I57</f>
        <v>9608500</v>
      </c>
      <c r="K438" s="27">
        <f>PK!J57</f>
        <v>161</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9608661</v>
      </c>
      <c r="Z438" s="27">
        <f>PK!Y57</f>
        <v>0</v>
      </c>
      <c r="AA438" s="27">
        <f>PK!Z57</f>
        <v>9608661</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76369716.35</v>
      </c>
      <c r="I443" s="27">
        <f t="shared" si="25"/>
        <v>0</v>
      </c>
      <c r="J443" s="27">
        <f>PK!I62</f>
        <v>45834700</v>
      </c>
      <c r="K443" s="27">
        <f>PK!J62</f>
        <v>11429549</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32175231</v>
      </c>
      <c r="X443" s="27">
        <f>PK!W62</f>
        <v>13105967</v>
      </c>
      <c r="Y443" s="27">
        <f>PK!X62</f>
        <v>102545447</v>
      </c>
      <c r="Z443" s="27">
        <f>PK!Y62</f>
        <v>0</v>
      </c>
      <c r="AA443" s="27">
        <f>PK!Z62</f>
        <v>102545447</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 activePane="bottomLeft" state="frozen"/>
      <selection pane="topLeft" activeCell="A2" sqref="A2"/>
      <selection pane="bottomLeft" activeCell="C111" sqref="C111:J11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RIJEKA PLUS d.o.o.</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3</v>
      </c>
      <c r="T3" s="206" t="s">
        <v>614</v>
      </c>
      <c r="U3" s="224" t="str">
        <f>RefStr!L21</f>
        <v>94315988508</v>
      </c>
      <c r="V3" s="206" t="s">
        <v>2736</v>
      </c>
      <c r="W3" s="224">
        <f>RefStr!C31</f>
        <v>51000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83938812619</v>
      </c>
      <c r="V4" s="206" t="s">
        <v>2737</v>
      </c>
      <c r="W4" s="224" t="str">
        <f>RefStr!F31</f>
        <v>RIJEKA</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1</v>
      </c>
      <c r="P5" s="207">
        <f>NT_I!Q2</f>
        <v>1</v>
      </c>
      <c r="Q5" s="224">
        <f>NT_I!Q3</f>
        <v>1</v>
      </c>
      <c r="R5" s="206" t="s">
        <v>2888</v>
      </c>
      <c r="S5" s="224">
        <f>IF(RefStr!C19&lt;&gt;"",IF(ISERROR(INT(RefStr!C19)),0,RefStr!C19),0)</f>
        <v>2</v>
      </c>
      <c r="T5" s="206" t="s">
        <v>1560</v>
      </c>
      <c r="U5" s="224" t="str">
        <f>RefStr!H27</f>
        <v>04042034</v>
      </c>
      <c r="V5" s="206" t="s">
        <v>2738</v>
      </c>
      <c r="W5" s="224" t="str">
        <f>RefStr!C33</f>
        <v>BLAŽA POLIĆA 2</v>
      </c>
      <c r="X5" s="226" t="s">
        <v>2929</v>
      </c>
      <c r="Y5" s="227" t="str">
        <f>RefStr!I62</f>
        <v>DA</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040305467</v>
      </c>
      <c r="V6" s="206" t="s">
        <v>2968</v>
      </c>
      <c r="W6" s="224" t="str">
        <f>RefStr!L35</f>
        <v>+38551311420</v>
      </c>
      <c r="X6" s="206" t="s">
        <v>2926</v>
      </c>
      <c r="Y6" s="224" t="str">
        <f>RefStr!C68</f>
        <v>Nataša Tubin Bakarčić</v>
      </c>
      <c r="Z6" s="206" t="s">
        <v>2952</v>
      </c>
      <c r="AA6" s="224">
        <f>RefStr!C46</f>
        <v>0</v>
      </c>
    </row>
    <row r="7" spans="1:27" ht="13.5" customHeight="1">
      <c r="A7" s="505"/>
      <c r="B7" s="506"/>
      <c r="C7" s="506"/>
      <c r="D7" s="506"/>
      <c r="E7" s="506"/>
      <c r="F7" s="506"/>
      <c r="G7" s="506"/>
      <c r="H7" s="506"/>
      <c r="I7" s="214" t="s">
        <v>211</v>
      </c>
      <c r="J7" s="216">
        <f>SUM(M12:M122)</f>
        <v>0</v>
      </c>
      <c r="N7" s="203" t="s">
        <v>795</v>
      </c>
      <c r="O7" s="206">
        <f>PK!AC1</f>
        <v>1</v>
      </c>
      <c r="P7" s="207">
        <f>PK!AC2</f>
        <v>1</v>
      </c>
      <c r="Q7" s="224">
        <f>PK!AC3</f>
        <v>1</v>
      </c>
      <c r="R7" s="206" t="s">
        <v>2969</v>
      </c>
      <c r="S7" s="224">
        <f>IF(RefStr!C44&lt;&gt;"",IF(ISERROR(INT(RefStr!C44)),0,RefStr!C44),0)</f>
        <v>1</v>
      </c>
      <c r="T7" s="206" t="s">
        <v>916</v>
      </c>
      <c r="U7" s="224">
        <f>RefStr!C7</f>
        <v>5</v>
      </c>
      <c r="V7" s="206" t="s">
        <v>2884</v>
      </c>
      <c r="W7" s="224" t="str">
        <f>TRIM(UPPER(RefStr!C35))</f>
        <v>UPRAVA@RIJEKA-PLUS.HR</v>
      </c>
      <c r="X7" s="206" t="s">
        <v>2927</v>
      </c>
      <c r="Y7" s="224" t="str">
        <f>RefStr!C70</f>
        <v>+38551311520</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5221</v>
      </c>
      <c r="X8" s="206" t="s">
        <v>2928</v>
      </c>
      <c r="Y8" s="224" t="str">
        <f>TRIM(UPPER(RefStr!C72))</f>
        <v>NATASA.TUBIN@RIJEKA-PLUS.HR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107</v>
      </c>
      <c r="Q9" s="223">
        <f>RefStr!F58</f>
        <v>116</v>
      </c>
      <c r="R9" s="206" t="s">
        <v>914</v>
      </c>
      <c r="S9" s="224">
        <f>IF(RefStr!F4&lt;&gt;"",RefStr!F4,0)</f>
        <v>44926</v>
      </c>
      <c r="T9" s="206" t="s">
        <v>891</v>
      </c>
      <c r="U9" s="224">
        <f>RefStr!C39</f>
        <v>373</v>
      </c>
      <c r="V9" s="206" t="s">
        <v>2951</v>
      </c>
      <c r="W9" s="224" t="str">
        <f>RefStr!D42</f>
        <v>Uslužne djelatnosti u vezi s kopnenim ...</v>
      </c>
      <c r="X9" s="230" t="s">
        <v>1782</v>
      </c>
      <c r="Y9" s="231" t="str">
        <f>RefStr!I66</f>
        <v>DA</v>
      </c>
      <c r="Z9" s="228" t="s">
        <v>1781</v>
      </c>
      <c r="AA9" s="229" t="str">
        <f>RefStr!I64</f>
        <v>DA</v>
      </c>
    </row>
    <row r="10" spans="1:27" ht="13.5" customHeight="1">
      <c r="A10" s="516"/>
      <c r="B10" s="516"/>
      <c r="C10" s="516"/>
      <c r="D10" s="516"/>
      <c r="E10" s="516"/>
      <c r="F10" s="516"/>
      <c r="G10" s="516"/>
      <c r="H10" s="516"/>
      <c r="I10" s="516"/>
      <c r="J10" s="516"/>
      <c r="L10" s="190"/>
      <c r="M10" s="190"/>
      <c r="O10" s="222" t="s">
        <v>1998</v>
      </c>
      <c r="P10" s="208">
        <f>RefStr!C56</f>
        <v>149</v>
      </c>
      <c r="Q10" s="225">
        <f>RefStr!F56</f>
        <v>161</v>
      </c>
      <c r="R10" s="208" t="s">
        <v>917</v>
      </c>
      <c r="S10" s="225">
        <f>RefStr!C23</f>
        <v>1</v>
      </c>
      <c r="T10" s="208" t="s">
        <v>2973</v>
      </c>
      <c r="U10" s="225" t="str">
        <f>RefStr!D39</f>
        <v>Rijeka</v>
      </c>
      <c r="V10" s="232"/>
      <c r="W10" s="233"/>
      <c r="X10" s="234" t="s">
        <v>2279</v>
      </c>
      <c r="Y10" s="235">
        <f>RefStr!F12</f>
        <v>2022</v>
      </c>
      <c r="Z10" s="208" t="s">
        <v>1771</v>
      </c>
      <c r="AA10" s="225" t="str">
        <f>RefStr!A75</f>
        <v>SMOJVER ŽELJKO</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1"/>
      <c r="E50" s="491"/>
      <c r="F50" s="491"/>
      <c r="G50" s="491"/>
      <c r="H50" s="491"/>
      <c r="I50" s="491"/>
      <c r="J50" s="491"/>
      <c r="L50" s="190">
        <f>IF(N50&lt;&gt;S3,1,0)</f>
        <v>0</v>
      </c>
      <c r="M50" s="190"/>
      <c r="N50" s="190">
        <f>IF(P8&gt;0,O50,AC50)</f>
        <v>3</v>
      </c>
      <c r="O50" s="194">
        <f>IF(SUM(Y50:AA50)&gt;1,4,IF(SUM(U50:W50)&gt;1,3,IF(SUM(Q50:S50)&gt;1,2,IF(S6="DA",2,1))))</f>
        <v>3</v>
      </c>
      <c r="P50" s="197" t="s">
        <v>1794</v>
      </c>
      <c r="Q50" s="197">
        <f>IF(Bilanca!I73&gt;2600000,1,0)</f>
        <v>1</v>
      </c>
      <c r="R50" s="196">
        <f>IF(RDG!I60&gt;5200000,1,0)</f>
        <v>1</v>
      </c>
      <c r="S50" s="196">
        <f>IF(P10&gt;10,1,0)</f>
        <v>1</v>
      </c>
      <c r="T50" s="196" t="s">
        <v>2256</v>
      </c>
      <c r="U50" s="196">
        <f>IF(Bilanca!I73&gt;30000000,1,0)</f>
        <v>1</v>
      </c>
      <c r="V50" s="196">
        <f>IF(RDG!I60&gt;60000000,1,0)</f>
        <v>0</v>
      </c>
      <c r="W50" s="196">
        <f>IF(P10&gt;50,1,0)</f>
        <v>1</v>
      </c>
      <c r="X50" s="196" t="s">
        <v>2257</v>
      </c>
      <c r="Y50" s="196">
        <f>IF(Bilanca!I73&gt;150000000,1,0)</f>
        <v>0</v>
      </c>
      <c r="Z50" s="196">
        <f>IF(RDG!I60&gt;300000000,1,0)</f>
        <v>0</v>
      </c>
      <c r="AA50" s="196">
        <f>IF(P10&gt;250,1,0)</f>
        <v>0</v>
      </c>
      <c r="AC50" s="194">
        <f>IF(SUM(AM50:AO50)&gt;1,4,IF(SUM(AI50:AK50)&gt;1,3,IF(SUM(AE50:AG50)&gt;1,2,IF(S6="DA",2,1))))</f>
        <v>3</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1</v>
      </c>
      <c r="AK50" s="196">
        <f>IF(Q10&gt;50,1,0)</f>
        <v>1</v>
      </c>
      <c r="AL50" s="196" t="s">
        <v>2257</v>
      </c>
      <c r="AM50" s="196">
        <f>IF(Bilanca!J73&gt;150000000,1,0)</f>
        <v>1</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1</v>
      </c>
      <c r="AA52" s="217">
        <f>IF(Bilanca!I73&gt;15000000,1,0)</f>
        <v>1</v>
      </c>
      <c r="AB52" s="217">
        <f>IF(RDG!I60&gt;30000000,1,0)</f>
        <v>1</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F:\KONAČNO\[RI+ GFI-POD_2022 - JAVNA OBJAVA.xls]NT_I</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C72" sqref="C72:H72"/>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44562</v>
      </c>
      <c r="D4" s="345"/>
      <c r="E4" s="7" t="s">
        <v>560</v>
      </c>
      <c r="F4" s="344">
        <v>44926</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5</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2022</v>
      </c>
      <c r="G12" s="370"/>
      <c r="H12" s="362" t="s">
        <v>1983</v>
      </c>
      <c r="I12" s="363"/>
      <c r="J12" s="363"/>
      <c r="K12" s="152"/>
      <c r="L12" s="152"/>
      <c r="M12" s="152"/>
      <c r="N12" s="152"/>
      <c r="P12" s="50" t="s">
        <v>1561</v>
      </c>
      <c r="Q12" s="51">
        <f>INT(VALUE(H27))/10</f>
        <v>404203.4</v>
      </c>
    </row>
    <row r="13" spans="4:17" ht="9.75" customHeight="1">
      <c r="D13" s="152"/>
      <c r="E13" s="158"/>
      <c r="H13" s="23"/>
      <c r="I13" s="159"/>
      <c r="J13" s="159"/>
      <c r="K13" s="152"/>
      <c r="L13" s="152"/>
      <c r="M13" s="152"/>
      <c r="N13" s="152"/>
      <c r="P13" s="50" t="s">
        <v>1561</v>
      </c>
      <c r="Q13" s="51">
        <f>INT(VALUE(M27))/50</f>
        <v>806109.34</v>
      </c>
    </row>
    <row r="14" spans="1:17" ht="15">
      <c r="A14" s="377" t="s">
        <v>1312</v>
      </c>
      <c r="B14" s="377"/>
      <c r="C14" s="377"/>
      <c r="D14" s="160"/>
      <c r="E14" s="161"/>
      <c r="F14" s="375"/>
      <c r="G14" s="376"/>
      <c r="H14" s="376"/>
      <c r="I14" s="152"/>
      <c r="J14" s="367" t="s">
        <v>1978</v>
      </c>
      <c r="K14" s="368"/>
      <c r="L14" s="368"/>
      <c r="M14" s="368"/>
      <c r="N14" s="368"/>
      <c r="P14" s="50" t="s">
        <v>1316</v>
      </c>
      <c r="Q14" s="51">
        <f>INT(VALUE(C27))/100</f>
        <v>839388126.19</v>
      </c>
    </row>
    <row r="15" spans="1:17" ht="19.5" customHeight="1">
      <c r="A15" s="364">
        <f>Skriveni!B59</f>
        <v>6446981375.29</v>
      </c>
      <c r="B15" s="365"/>
      <c r="C15" s="366"/>
      <c r="D15" s="56"/>
      <c r="E15" s="56"/>
      <c r="F15" s="56"/>
      <c r="G15" s="56"/>
      <c r="H15" s="56"/>
      <c r="I15" s="56"/>
      <c r="J15" s="56"/>
      <c r="K15" s="56"/>
      <c r="L15" s="56"/>
      <c r="M15" s="56"/>
      <c r="N15" s="56"/>
      <c r="P15" s="50" t="s">
        <v>887</v>
      </c>
      <c r="Q15" s="51">
        <f>LEN(Skriveni!B9)</f>
        <v>18</v>
      </c>
    </row>
    <row r="16" spans="4:17" ht="12.75" customHeight="1">
      <c r="D16" s="56"/>
      <c r="E16" s="56"/>
      <c r="F16" s="56"/>
      <c r="G16" s="56"/>
      <c r="H16" s="56"/>
      <c r="I16" s="56"/>
      <c r="P16" s="50" t="s">
        <v>888</v>
      </c>
      <c r="Q16" s="51">
        <f>INT(VALUE(C31))/100</f>
        <v>510</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6</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2</v>
      </c>
      <c r="D19" s="380" t="str">
        <f>IF(C19="","Upišite svrhu predaje",IF(ISNA(LOOKUP(C19,A118:A120,A118:A120)),"Nepostojeća ili neprepoznatljiva svrha predaje",IF(LOOKUP(C19,A118:A120,A118:A120)&lt;&gt;C19,"Nepostojeća ili neprepoznatljiva svrha predaje",LOOKUP(C19,A118:A120,B118:B120))))</f>
        <v>Predaja samo u svrhu javne objave</v>
      </c>
      <c r="E19" s="321"/>
      <c r="F19" s="321"/>
      <c r="G19" s="321"/>
      <c r="H19" s="321"/>
      <c r="I19" s="317" t="s">
        <v>198</v>
      </c>
      <c r="J19" s="379"/>
      <c r="K19" s="379"/>
      <c r="L19" s="379"/>
      <c r="M19" s="379"/>
      <c r="N19" s="32" t="s">
        <v>2993</v>
      </c>
      <c r="P19" s="50" t="s">
        <v>890</v>
      </c>
      <c r="Q19" s="51">
        <f>LEN(Skriveni!B12)</f>
        <v>14</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1587</v>
      </c>
      <c r="J21" s="378" t="s">
        <v>1988</v>
      </c>
      <c r="K21" s="379"/>
      <c r="L21" s="288" t="s">
        <v>2994</v>
      </c>
      <c r="M21" s="319"/>
      <c r="N21" s="290"/>
      <c r="P21" s="50" t="s">
        <v>891</v>
      </c>
      <c r="Q21" s="51">
        <f>INT(VALUE(C39))</f>
        <v>373</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5221</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2982</v>
      </c>
      <c r="D27" s="289"/>
      <c r="E27" s="290"/>
      <c r="F27" s="280" t="s">
        <v>2787</v>
      </c>
      <c r="G27" s="307"/>
      <c r="H27" s="288" t="s">
        <v>2983</v>
      </c>
      <c r="I27" s="305"/>
      <c r="J27" s="280" t="s">
        <v>1977</v>
      </c>
      <c r="K27" s="281"/>
      <c r="L27" s="306"/>
      <c r="M27" s="288" t="s">
        <v>2984</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2985</v>
      </c>
      <c r="D29" s="303"/>
      <c r="E29" s="303"/>
      <c r="F29" s="303"/>
      <c r="G29" s="303"/>
      <c r="H29" s="303"/>
      <c r="I29" s="303"/>
      <c r="J29" s="303"/>
      <c r="K29" s="303"/>
      <c r="L29" s="304"/>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51000</v>
      </c>
      <c r="D31" s="328" t="s">
        <v>929</v>
      </c>
      <c r="E31" s="329"/>
      <c r="F31" s="302" t="s">
        <v>2986</v>
      </c>
      <c r="G31" s="330"/>
      <c r="H31" s="330"/>
      <c r="I31" s="330"/>
      <c r="J31" s="330"/>
      <c r="K31" s="330"/>
      <c r="L31" s="331"/>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2987</v>
      </c>
      <c r="D33" s="303"/>
      <c r="E33" s="303"/>
      <c r="F33" s="303"/>
      <c r="G33" s="303"/>
      <c r="H33" s="303"/>
      <c r="I33" s="303"/>
      <c r="J33" s="303"/>
      <c r="K33" s="303"/>
      <c r="L33" s="304"/>
      <c r="M33" s="56"/>
      <c r="N33" s="56"/>
      <c r="P33" s="50" t="s">
        <v>894</v>
      </c>
      <c r="Q33" s="51">
        <f>INT(VALUE(Skriveni!B21))</f>
        <v>2</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2988</v>
      </c>
      <c r="D35" s="383"/>
      <c r="E35" s="383"/>
      <c r="F35" s="383"/>
      <c r="G35" s="383"/>
      <c r="H35" s="383"/>
      <c r="I35" s="384"/>
      <c r="J35" s="277" t="s">
        <v>1750</v>
      </c>
      <c r="K35" s="317"/>
      <c r="L35" s="288" t="s">
        <v>2990</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2989</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373</v>
      </c>
      <c r="D39" s="278" t="str">
        <f>IF(C39="","Upišite šifru grada/općine",IF(ISNA(LOOKUP(C39,A177:A732,A177:A732)),"Šifra grada/općine ne postoji",IF(LOOKUP(C39,A177:A732,A177:A732)&lt;&gt;C39,"Šifra grada/općine ne postoji",LOOKUP(C39,A177:A732,B177:B732))))</f>
        <v>Rijeka</v>
      </c>
      <c r="E39" s="323"/>
      <c r="F39" s="323"/>
      <c r="G39" s="323"/>
      <c r="H39" s="287" t="s">
        <v>2109</v>
      </c>
      <c r="I39" s="306"/>
      <c r="J39" s="54">
        <f>IF(C39&gt;0,LOOKUP(C39,A177:A732,C177:C732),"")</f>
        <v>8</v>
      </c>
      <c r="K39" s="332" t="str">
        <f>IF(J39="","Upišite šifru grada/općine",LOOKUP(J39,A153:A173,B153:B173))</f>
        <v>PRIMORSKO-GORANSKA</v>
      </c>
      <c r="L39" s="332"/>
      <c r="M39" s="332"/>
      <c r="N39" s="332"/>
      <c r="P39" s="50" t="s">
        <v>896</v>
      </c>
      <c r="Q39" s="51">
        <f>C56+2*F56+3*C58+4*F58</f>
        <v>1256</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479</v>
      </c>
      <c r="D42" s="320" t="str">
        <f>IF(C42="","Upišite šifru razreda glavne djelatnosti",IF(ISNA(LOOKUP(C42,A736:A1351,A736:A1351)),"Šifra NKD-a ne postoji",IF(LOOKUP(C42,A736:A1351,A736:A1351)&lt;&gt;C42,"Šifra NKD-a ne postoji",LOOKUP(C42,A736:A1351,B736:B1351))))</f>
        <v>Uslužne djelatnosti u vezi s kopnenim ...</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14</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943159885.08</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3</v>
      </c>
      <c r="D50" s="274" t="str">
        <f>IF(C50="","Upišite oznaku veličine",IF(ISNA(LOOKUP(C50,A124:A127,A124:A127)),"Nepostojeća oznaka veličine",IF(LOOKUP(C50,A124:A127,A124:A127)&lt;&gt;C50,"Nepostojeća oznaka veličine",LOOKUP(C50,A124:A127,B124:B127))))</f>
        <v>Srednji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NE</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149</v>
      </c>
      <c r="D56" s="326" t="s">
        <v>2653</v>
      </c>
      <c r="E56" s="327"/>
      <c r="F56" s="40">
        <v>161</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107</v>
      </c>
      <c r="D58" s="314" t="s">
        <v>2653</v>
      </c>
      <c r="E58" s="314"/>
      <c r="F58" s="40">
        <v>116</v>
      </c>
      <c r="G58" s="314" t="s">
        <v>2654</v>
      </c>
      <c r="H58" s="314"/>
      <c r="I58" s="5" t="str">
        <f>IF(OR(NT_I!Q1&lt;&gt;0,NT_D!Q1&lt;&gt;0),"DA","NE")</f>
        <v>DA</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DA</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1587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1587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2995</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2991</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2996</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2992</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72" activePane="bottomLeft" state="frozen"/>
      <selection pane="topLeft" activeCell="A1" sqref="A1"/>
      <selection pane="bottomLeft" activeCell="J76" sqref="J76"/>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83938812619; RIJEKA PLUS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v>4662495</v>
      </c>
      <c r="O9" s="70"/>
    </row>
    <row r="10" spans="1:10" ht="13.5" customHeight="1">
      <c r="A10" s="387" t="s">
        <v>903</v>
      </c>
      <c r="B10" s="387"/>
      <c r="C10" s="387"/>
      <c r="D10" s="387"/>
      <c r="E10" s="387"/>
      <c r="F10" s="387"/>
      <c r="G10" s="15">
        <v>2</v>
      </c>
      <c r="H10" s="16"/>
      <c r="I10" s="66">
        <f>I11+I18+I28+I39+I44</f>
        <v>102656324</v>
      </c>
      <c r="J10" s="66">
        <f>J11+J18+J28+J39+J44</f>
        <v>75348454</v>
      </c>
    </row>
    <row r="11" spans="1:10" ht="13.5" customHeight="1">
      <c r="A11" s="386" t="s">
        <v>904</v>
      </c>
      <c r="B11" s="386"/>
      <c r="C11" s="386"/>
      <c r="D11" s="386"/>
      <c r="E11" s="386"/>
      <c r="F11" s="386"/>
      <c r="G11" s="15">
        <v>3</v>
      </c>
      <c r="H11" s="16"/>
      <c r="I11" s="66">
        <f>SUM(I12:I17)</f>
        <v>2653478</v>
      </c>
      <c r="J11" s="66">
        <f>SUM(J12:J17)</f>
        <v>3589703</v>
      </c>
    </row>
    <row r="12" spans="1:10" ht="13.5" customHeight="1">
      <c r="A12" s="385" t="s">
        <v>1887</v>
      </c>
      <c r="B12" s="385"/>
      <c r="C12" s="385"/>
      <c r="D12" s="385"/>
      <c r="E12" s="385"/>
      <c r="F12" s="385"/>
      <c r="G12" s="15">
        <v>4</v>
      </c>
      <c r="H12" s="16"/>
      <c r="I12" s="67">
        <v>0</v>
      </c>
      <c r="J12" s="67">
        <v>0</v>
      </c>
    </row>
    <row r="13" spans="1:10" ht="24.75" customHeight="1">
      <c r="A13" s="385" t="s">
        <v>880</v>
      </c>
      <c r="B13" s="385"/>
      <c r="C13" s="385"/>
      <c r="D13" s="385"/>
      <c r="E13" s="385"/>
      <c r="F13" s="385"/>
      <c r="G13" s="15">
        <v>5</v>
      </c>
      <c r="H13" s="16"/>
      <c r="I13" s="67">
        <v>2583478</v>
      </c>
      <c r="J13" s="67">
        <v>2558988</v>
      </c>
    </row>
    <row r="14" spans="1:10" ht="13.5" customHeight="1">
      <c r="A14" s="385" t="s">
        <v>1888</v>
      </c>
      <c r="B14" s="385"/>
      <c r="C14" s="385"/>
      <c r="D14" s="385"/>
      <c r="E14" s="385"/>
      <c r="F14" s="385"/>
      <c r="G14" s="15">
        <v>6</v>
      </c>
      <c r="H14" s="16"/>
      <c r="I14" s="67">
        <v>0</v>
      </c>
      <c r="J14" s="67">
        <v>0</v>
      </c>
    </row>
    <row r="15" spans="1:10" ht="13.5" customHeight="1">
      <c r="A15" s="385" t="s">
        <v>1889</v>
      </c>
      <c r="B15" s="385"/>
      <c r="C15" s="385"/>
      <c r="D15" s="385"/>
      <c r="E15" s="385"/>
      <c r="F15" s="385"/>
      <c r="G15" s="15">
        <v>7</v>
      </c>
      <c r="H15" s="16"/>
      <c r="I15" s="67">
        <v>0</v>
      </c>
      <c r="J15" s="67">
        <v>0</v>
      </c>
    </row>
    <row r="16" spans="1:10" ht="13.5" customHeight="1">
      <c r="A16" s="385" t="s">
        <v>1890</v>
      </c>
      <c r="B16" s="385"/>
      <c r="C16" s="385"/>
      <c r="D16" s="385"/>
      <c r="E16" s="385"/>
      <c r="F16" s="385"/>
      <c r="G16" s="15">
        <v>8</v>
      </c>
      <c r="H16" s="16"/>
      <c r="I16" s="67">
        <v>70000</v>
      </c>
      <c r="J16" s="67">
        <v>1030715</v>
      </c>
    </row>
    <row r="17" spans="1:10" ht="13.5" customHeight="1">
      <c r="A17" s="385" t="s">
        <v>1891</v>
      </c>
      <c r="B17" s="385"/>
      <c r="C17" s="385"/>
      <c r="D17" s="385"/>
      <c r="E17" s="385"/>
      <c r="F17" s="385"/>
      <c r="G17" s="15">
        <v>9</v>
      </c>
      <c r="H17" s="16"/>
      <c r="I17" s="67">
        <v>0</v>
      </c>
      <c r="J17" s="67"/>
    </row>
    <row r="18" spans="1:10" ht="13.5" customHeight="1">
      <c r="A18" s="386" t="s">
        <v>965</v>
      </c>
      <c r="B18" s="386"/>
      <c r="C18" s="386"/>
      <c r="D18" s="386"/>
      <c r="E18" s="386"/>
      <c r="F18" s="386"/>
      <c r="G18" s="15">
        <v>10</v>
      </c>
      <c r="H18" s="16"/>
      <c r="I18" s="66">
        <f>SUM(I19:I27)</f>
        <v>100002846</v>
      </c>
      <c r="J18" s="66">
        <f>SUM(J19:J27)</f>
        <v>71758751</v>
      </c>
    </row>
    <row r="19" spans="1:10" ht="13.5" customHeight="1">
      <c r="A19" s="385" t="s">
        <v>733</v>
      </c>
      <c r="B19" s="385"/>
      <c r="C19" s="385"/>
      <c r="D19" s="385"/>
      <c r="E19" s="385"/>
      <c r="F19" s="385"/>
      <c r="G19" s="15">
        <v>11</v>
      </c>
      <c r="H19" s="16"/>
      <c r="I19" s="67">
        <v>13567617</v>
      </c>
      <c r="J19" s="67">
        <v>14719417</v>
      </c>
    </row>
    <row r="20" spans="1:10" ht="13.5" customHeight="1">
      <c r="A20" s="385" t="s">
        <v>796</v>
      </c>
      <c r="B20" s="385"/>
      <c r="C20" s="385"/>
      <c r="D20" s="385"/>
      <c r="E20" s="385"/>
      <c r="F20" s="385"/>
      <c r="G20" s="15">
        <v>12</v>
      </c>
      <c r="H20" s="16"/>
      <c r="I20" s="67">
        <v>55628708</v>
      </c>
      <c r="J20" s="67">
        <v>54010235</v>
      </c>
    </row>
    <row r="21" spans="1:10" ht="13.5" customHeight="1">
      <c r="A21" s="385" t="s">
        <v>734</v>
      </c>
      <c r="B21" s="385"/>
      <c r="C21" s="385"/>
      <c r="D21" s="385"/>
      <c r="E21" s="385"/>
      <c r="F21" s="385"/>
      <c r="G21" s="15">
        <v>13</v>
      </c>
      <c r="H21" s="16"/>
      <c r="I21" s="67">
        <v>1831670</v>
      </c>
      <c r="J21" s="67">
        <v>2158701</v>
      </c>
    </row>
    <row r="22" spans="1:10" ht="13.5" customHeight="1">
      <c r="A22" s="385" t="s">
        <v>405</v>
      </c>
      <c r="B22" s="385"/>
      <c r="C22" s="385"/>
      <c r="D22" s="385"/>
      <c r="E22" s="385"/>
      <c r="F22" s="385"/>
      <c r="G22" s="15">
        <v>14</v>
      </c>
      <c r="H22" s="16"/>
      <c r="I22" s="67">
        <v>573089</v>
      </c>
      <c r="J22" s="67">
        <v>835904</v>
      </c>
    </row>
    <row r="23" spans="1:10" ht="13.5" customHeight="1">
      <c r="A23" s="385" t="s">
        <v>406</v>
      </c>
      <c r="B23" s="385"/>
      <c r="C23" s="385"/>
      <c r="D23" s="385"/>
      <c r="E23" s="385"/>
      <c r="F23" s="385"/>
      <c r="G23" s="15">
        <v>15</v>
      </c>
      <c r="H23" s="16"/>
      <c r="I23" s="67">
        <v>40961</v>
      </c>
      <c r="J23" s="67">
        <v>34494</v>
      </c>
    </row>
    <row r="24" spans="1:10" ht="13.5" customHeight="1">
      <c r="A24" s="385" t="s">
        <v>2691</v>
      </c>
      <c r="B24" s="385"/>
      <c r="C24" s="385"/>
      <c r="D24" s="385"/>
      <c r="E24" s="385"/>
      <c r="F24" s="385"/>
      <c r="G24" s="15">
        <v>16</v>
      </c>
      <c r="H24" s="16"/>
      <c r="I24" s="67">
        <v>0</v>
      </c>
      <c r="J24" s="67">
        <v>0</v>
      </c>
    </row>
    <row r="25" spans="1:10" ht="13.5" customHeight="1">
      <c r="A25" s="385" t="s">
        <v>2692</v>
      </c>
      <c r="B25" s="385"/>
      <c r="C25" s="385"/>
      <c r="D25" s="385"/>
      <c r="E25" s="385"/>
      <c r="F25" s="385"/>
      <c r="G25" s="15">
        <v>17</v>
      </c>
      <c r="H25" s="16"/>
      <c r="I25" s="67">
        <v>0</v>
      </c>
      <c r="J25" s="67">
        <v>0</v>
      </c>
    </row>
    <row r="26" spans="1:10" ht="13.5" customHeight="1">
      <c r="A26" s="385" t="s">
        <v>2693</v>
      </c>
      <c r="B26" s="385"/>
      <c r="C26" s="385"/>
      <c r="D26" s="385"/>
      <c r="E26" s="385"/>
      <c r="F26" s="385"/>
      <c r="G26" s="15">
        <v>18</v>
      </c>
      <c r="H26" s="16"/>
      <c r="I26" s="67">
        <v>0</v>
      </c>
      <c r="J26" s="67">
        <v>0</v>
      </c>
    </row>
    <row r="27" spans="1:10" ht="13.5" customHeight="1">
      <c r="A27" s="385" t="s">
        <v>2694</v>
      </c>
      <c r="B27" s="385"/>
      <c r="C27" s="385"/>
      <c r="D27" s="385"/>
      <c r="E27" s="385"/>
      <c r="F27" s="385"/>
      <c r="G27" s="15">
        <v>19</v>
      </c>
      <c r="H27" s="16"/>
      <c r="I27" s="67">
        <v>28360801</v>
      </c>
      <c r="J27" s="67">
        <v>0</v>
      </c>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c r="J43" s="67"/>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12241622</v>
      </c>
      <c r="J45" s="66">
        <f>J46+J54+J61+J71</f>
        <v>87889614</v>
      </c>
    </row>
    <row r="46" spans="1:10" ht="13.5" customHeight="1">
      <c r="A46" s="386" t="s">
        <v>1264</v>
      </c>
      <c r="B46" s="386"/>
      <c r="C46" s="386"/>
      <c r="D46" s="386"/>
      <c r="E46" s="386"/>
      <c r="F46" s="386"/>
      <c r="G46" s="15">
        <v>38</v>
      </c>
      <c r="H46" s="16"/>
      <c r="I46" s="66">
        <f>SUM(I47:I53)</f>
        <v>155283</v>
      </c>
      <c r="J46" s="66">
        <f>SUM(J47:J53)</f>
        <v>377637</v>
      </c>
    </row>
    <row r="47" spans="1:10" ht="13.5" customHeight="1">
      <c r="A47" s="385" t="s">
        <v>1892</v>
      </c>
      <c r="B47" s="385"/>
      <c r="C47" s="385"/>
      <c r="D47" s="385"/>
      <c r="E47" s="385"/>
      <c r="F47" s="385"/>
      <c r="G47" s="15">
        <v>39</v>
      </c>
      <c r="H47" s="16"/>
      <c r="I47" s="67">
        <v>155283</v>
      </c>
      <c r="J47" s="67">
        <v>377637</v>
      </c>
    </row>
    <row r="48" spans="1:10" ht="13.5" customHeight="1">
      <c r="A48" s="385" t="s">
        <v>1893</v>
      </c>
      <c r="B48" s="385"/>
      <c r="C48" s="385"/>
      <c r="D48" s="385"/>
      <c r="E48" s="385"/>
      <c r="F48" s="385"/>
      <c r="G48" s="15">
        <v>40</v>
      </c>
      <c r="H48" s="16"/>
      <c r="I48" s="67">
        <v>0</v>
      </c>
      <c r="J48" s="67">
        <v>0</v>
      </c>
    </row>
    <row r="49" spans="1:10" ht="13.5" customHeight="1">
      <c r="A49" s="385" t="s">
        <v>1894</v>
      </c>
      <c r="B49" s="385"/>
      <c r="C49" s="385"/>
      <c r="D49" s="385"/>
      <c r="E49" s="385"/>
      <c r="F49" s="385"/>
      <c r="G49" s="15">
        <v>41</v>
      </c>
      <c r="H49" s="16"/>
      <c r="I49" s="67">
        <v>0</v>
      </c>
      <c r="J49" s="67">
        <v>0</v>
      </c>
    </row>
    <row r="50" spans="1:10" ht="13.5" customHeight="1">
      <c r="A50" s="385" t="s">
        <v>1895</v>
      </c>
      <c r="B50" s="385"/>
      <c r="C50" s="385"/>
      <c r="D50" s="385"/>
      <c r="E50" s="385"/>
      <c r="F50" s="385"/>
      <c r="G50" s="15">
        <v>42</v>
      </c>
      <c r="H50" s="16"/>
      <c r="I50" s="67">
        <v>0</v>
      </c>
      <c r="J50" s="67">
        <v>0</v>
      </c>
    </row>
    <row r="51" spans="1:10" ht="13.5" customHeight="1">
      <c r="A51" s="385" t="s">
        <v>1896</v>
      </c>
      <c r="B51" s="385"/>
      <c r="C51" s="385"/>
      <c r="D51" s="385"/>
      <c r="E51" s="385"/>
      <c r="F51" s="385"/>
      <c r="G51" s="15">
        <v>43</v>
      </c>
      <c r="H51" s="16"/>
      <c r="I51" s="67">
        <v>0</v>
      </c>
      <c r="J51" s="67">
        <v>0</v>
      </c>
    </row>
    <row r="52" spans="1:10" ht="13.5" customHeight="1">
      <c r="A52" s="385" t="s">
        <v>1897</v>
      </c>
      <c r="B52" s="385"/>
      <c r="C52" s="385"/>
      <c r="D52" s="385"/>
      <c r="E52" s="385"/>
      <c r="F52" s="385"/>
      <c r="G52" s="15">
        <v>44</v>
      </c>
      <c r="H52" s="16"/>
      <c r="I52" s="67">
        <v>0</v>
      </c>
      <c r="J52" s="67">
        <v>0</v>
      </c>
    </row>
    <row r="53" spans="1:10" ht="13.5" customHeight="1">
      <c r="A53" s="385" t="s">
        <v>2006</v>
      </c>
      <c r="B53" s="385"/>
      <c r="C53" s="385"/>
      <c r="D53" s="385"/>
      <c r="E53" s="385"/>
      <c r="F53" s="385"/>
      <c r="G53" s="15">
        <v>45</v>
      </c>
      <c r="H53" s="16"/>
      <c r="I53" s="67">
        <v>0</v>
      </c>
      <c r="J53" s="67">
        <v>0</v>
      </c>
    </row>
    <row r="54" spans="1:10" ht="13.5" customHeight="1">
      <c r="A54" s="386" t="s">
        <v>1265</v>
      </c>
      <c r="B54" s="386"/>
      <c r="C54" s="386"/>
      <c r="D54" s="386"/>
      <c r="E54" s="386"/>
      <c r="F54" s="386"/>
      <c r="G54" s="15">
        <v>46</v>
      </c>
      <c r="H54" s="16"/>
      <c r="I54" s="66">
        <f>SUM(I55:I60)</f>
        <v>10278390</v>
      </c>
      <c r="J54" s="66">
        <f>SUM(J55:J60)</f>
        <v>38100170</v>
      </c>
    </row>
    <row r="55" spans="1:10" ht="13.5" customHeight="1">
      <c r="A55" s="385" t="s">
        <v>2007</v>
      </c>
      <c r="B55" s="385"/>
      <c r="C55" s="385"/>
      <c r="D55" s="385"/>
      <c r="E55" s="385"/>
      <c r="F55" s="385"/>
      <c r="G55" s="15">
        <v>47</v>
      </c>
      <c r="H55" s="16"/>
      <c r="I55" s="67">
        <v>0</v>
      </c>
      <c r="J55" s="67">
        <v>0</v>
      </c>
    </row>
    <row r="56" spans="1:10" ht="13.5" customHeight="1">
      <c r="A56" s="385" t="s">
        <v>2008</v>
      </c>
      <c r="B56" s="385"/>
      <c r="C56" s="385"/>
      <c r="D56" s="385"/>
      <c r="E56" s="385"/>
      <c r="F56" s="385"/>
      <c r="G56" s="15">
        <v>48</v>
      </c>
      <c r="H56" s="16"/>
      <c r="I56" s="67">
        <v>0</v>
      </c>
      <c r="J56" s="67">
        <v>0</v>
      </c>
    </row>
    <row r="57" spans="1:10" ht="13.5" customHeight="1">
      <c r="A57" s="385" t="s">
        <v>1253</v>
      </c>
      <c r="B57" s="385"/>
      <c r="C57" s="385"/>
      <c r="D57" s="385"/>
      <c r="E57" s="385"/>
      <c r="F57" s="385"/>
      <c r="G57" s="15">
        <v>49</v>
      </c>
      <c r="H57" s="16"/>
      <c r="I57" s="67">
        <v>9338854</v>
      </c>
      <c r="J57" s="67">
        <v>36549775</v>
      </c>
    </row>
    <row r="58" spans="1:10" ht="13.5" customHeight="1">
      <c r="A58" s="385" t="s">
        <v>2009</v>
      </c>
      <c r="B58" s="385"/>
      <c r="C58" s="385"/>
      <c r="D58" s="385"/>
      <c r="E58" s="385"/>
      <c r="F58" s="385"/>
      <c r="G58" s="15">
        <v>50</v>
      </c>
      <c r="H58" s="16"/>
      <c r="I58" s="67">
        <v>9708</v>
      </c>
      <c r="J58" s="67">
        <v>7561</v>
      </c>
    </row>
    <row r="59" spans="1:10" ht="13.5" customHeight="1">
      <c r="A59" s="385" t="s">
        <v>2010</v>
      </c>
      <c r="B59" s="385"/>
      <c r="C59" s="385"/>
      <c r="D59" s="385"/>
      <c r="E59" s="385"/>
      <c r="F59" s="385"/>
      <c r="G59" s="15">
        <v>51</v>
      </c>
      <c r="H59" s="16"/>
      <c r="I59" s="67">
        <v>869215</v>
      </c>
      <c r="J59" s="67">
        <v>407336</v>
      </c>
    </row>
    <row r="60" spans="1:10" ht="13.5" customHeight="1">
      <c r="A60" s="385" t="s">
        <v>1255</v>
      </c>
      <c r="B60" s="385"/>
      <c r="C60" s="385"/>
      <c r="D60" s="385"/>
      <c r="E60" s="385"/>
      <c r="F60" s="385"/>
      <c r="G60" s="15">
        <v>52</v>
      </c>
      <c r="H60" s="16"/>
      <c r="I60" s="67">
        <v>60613</v>
      </c>
      <c r="J60" s="67">
        <v>1135498</v>
      </c>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v>0</v>
      </c>
      <c r="J62" s="67">
        <v>0</v>
      </c>
    </row>
    <row r="63" spans="1:10" ht="13.5" customHeight="1">
      <c r="A63" s="385" t="s">
        <v>706</v>
      </c>
      <c r="B63" s="385"/>
      <c r="C63" s="385"/>
      <c r="D63" s="385"/>
      <c r="E63" s="385"/>
      <c r="F63" s="385"/>
      <c r="G63" s="15">
        <v>55</v>
      </c>
      <c r="H63" s="16"/>
      <c r="I63" s="67">
        <v>0</v>
      </c>
      <c r="J63" s="67">
        <v>0</v>
      </c>
    </row>
    <row r="64" spans="1:10" ht="13.5" customHeight="1">
      <c r="A64" s="385" t="s">
        <v>707</v>
      </c>
      <c r="B64" s="385"/>
      <c r="C64" s="385"/>
      <c r="D64" s="385"/>
      <c r="E64" s="385"/>
      <c r="F64" s="385"/>
      <c r="G64" s="15">
        <v>56</v>
      </c>
      <c r="H64" s="16"/>
      <c r="I64" s="67">
        <v>0</v>
      </c>
      <c r="J64" s="67">
        <v>0</v>
      </c>
    </row>
    <row r="65" spans="1:10" ht="24.75" customHeight="1">
      <c r="A65" s="385" t="s">
        <v>1997</v>
      </c>
      <c r="B65" s="385"/>
      <c r="C65" s="385"/>
      <c r="D65" s="385"/>
      <c r="E65" s="385"/>
      <c r="F65" s="385"/>
      <c r="G65" s="15">
        <v>57</v>
      </c>
      <c r="H65" s="16"/>
      <c r="I65" s="67">
        <v>0</v>
      </c>
      <c r="J65" s="67">
        <v>0</v>
      </c>
    </row>
    <row r="66" spans="1:10" ht="24.75" customHeight="1">
      <c r="A66" s="385" t="s">
        <v>882</v>
      </c>
      <c r="B66" s="385"/>
      <c r="C66" s="385"/>
      <c r="D66" s="385"/>
      <c r="E66" s="385"/>
      <c r="F66" s="385"/>
      <c r="G66" s="15">
        <v>58</v>
      </c>
      <c r="H66" s="16"/>
      <c r="I66" s="67">
        <v>0</v>
      </c>
      <c r="J66" s="67">
        <v>0</v>
      </c>
    </row>
    <row r="67" spans="1:10" ht="24.75" customHeight="1">
      <c r="A67" s="385" t="s">
        <v>1996</v>
      </c>
      <c r="B67" s="385"/>
      <c r="C67" s="385"/>
      <c r="D67" s="385"/>
      <c r="E67" s="385"/>
      <c r="F67" s="385"/>
      <c r="G67" s="15">
        <v>59</v>
      </c>
      <c r="H67" s="16"/>
      <c r="I67" s="67">
        <v>0</v>
      </c>
      <c r="J67" s="67">
        <v>0</v>
      </c>
    </row>
    <row r="68" spans="1:10" ht="13.5" customHeight="1">
      <c r="A68" s="385" t="s">
        <v>708</v>
      </c>
      <c r="B68" s="385"/>
      <c r="C68" s="385"/>
      <c r="D68" s="385"/>
      <c r="E68" s="385"/>
      <c r="F68" s="385"/>
      <c r="G68" s="15">
        <v>60</v>
      </c>
      <c r="H68" s="16"/>
      <c r="I68" s="67">
        <v>0</v>
      </c>
      <c r="J68" s="67">
        <v>0</v>
      </c>
    </row>
    <row r="69" spans="1:10" ht="13.5" customHeight="1">
      <c r="A69" s="385" t="s">
        <v>709</v>
      </c>
      <c r="B69" s="385"/>
      <c r="C69" s="385"/>
      <c r="D69" s="385"/>
      <c r="E69" s="385"/>
      <c r="F69" s="385"/>
      <c r="G69" s="15">
        <v>61</v>
      </c>
      <c r="H69" s="16"/>
      <c r="I69" s="67">
        <v>0</v>
      </c>
      <c r="J69" s="67">
        <v>0</v>
      </c>
    </row>
    <row r="70" spans="1:10" ht="13.5" customHeight="1">
      <c r="A70" s="385" t="s">
        <v>161</v>
      </c>
      <c r="B70" s="385"/>
      <c r="C70" s="385"/>
      <c r="D70" s="385"/>
      <c r="E70" s="385"/>
      <c r="F70" s="385"/>
      <c r="G70" s="15">
        <v>62</v>
      </c>
      <c r="H70" s="16"/>
      <c r="I70" s="67">
        <v>0</v>
      </c>
      <c r="J70" s="67">
        <v>0</v>
      </c>
    </row>
    <row r="71" spans="1:10" ht="13.5" customHeight="1">
      <c r="A71" s="386" t="s">
        <v>2776</v>
      </c>
      <c r="B71" s="386"/>
      <c r="C71" s="386"/>
      <c r="D71" s="386"/>
      <c r="E71" s="386"/>
      <c r="F71" s="386"/>
      <c r="G71" s="15">
        <v>63</v>
      </c>
      <c r="H71" s="16"/>
      <c r="I71" s="67">
        <v>1807949</v>
      </c>
      <c r="J71" s="67">
        <v>49411807</v>
      </c>
    </row>
    <row r="72" spans="1:10" ht="24.75" customHeight="1">
      <c r="A72" s="387" t="s">
        <v>591</v>
      </c>
      <c r="B72" s="387"/>
      <c r="C72" s="387"/>
      <c r="D72" s="387"/>
      <c r="E72" s="387"/>
      <c r="F72" s="387"/>
      <c r="G72" s="15">
        <v>64</v>
      </c>
      <c r="H72" s="16"/>
      <c r="I72" s="67">
        <v>91611</v>
      </c>
      <c r="J72" s="67">
        <v>115794</v>
      </c>
    </row>
    <row r="73" spans="1:10" ht="13.5" customHeight="1">
      <c r="A73" s="387" t="s">
        <v>1267</v>
      </c>
      <c r="B73" s="387"/>
      <c r="C73" s="387"/>
      <c r="D73" s="387"/>
      <c r="E73" s="387"/>
      <c r="F73" s="387"/>
      <c r="G73" s="15">
        <v>65</v>
      </c>
      <c r="H73" s="16"/>
      <c r="I73" s="66">
        <f>I9+I10+I45+I72</f>
        <v>114989557</v>
      </c>
      <c r="J73" s="66">
        <f>J9+J10+J45+J72</f>
        <v>168016357</v>
      </c>
    </row>
    <row r="74" spans="1:10" ht="13.5" customHeight="1">
      <c r="A74" s="388" t="s">
        <v>1004</v>
      </c>
      <c r="B74" s="388"/>
      <c r="C74" s="388"/>
      <c r="D74" s="388"/>
      <c r="E74" s="388"/>
      <c r="F74" s="388"/>
      <c r="G74" s="17">
        <v>66</v>
      </c>
      <c r="H74" s="18"/>
      <c r="I74" s="68"/>
      <c r="J74" s="68"/>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61918556</v>
      </c>
      <c r="J76" s="66">
        <f>J77+J78+J79+J85+J86+J92+J95+J98</f>
        <v>102545447</v>
      </c>
      <c r="L76" s="2" t="s">
        <v>1209</v>
      </c>
    </row>
    <row r="77" spans="1:10" ht="13.5" customHeight="1">
      <c r="A77" s="386" t="s">
        <v>1857</v>
      </c>
      <c r="B77" s="386"/>
      <c r="C77" s="386"/>
      <c r="D77" s="386"/>
      <c r="E77" s="386"/>
      <c r="F77" s="386"/>
      <c r="G77" s="15">
        <v>68</v>
      </c>
      <c r="H77" s="16"/>
      <c r="I77" s="67">
        <v>36226200</v>
      </c>
      <c r="J77" s="67">
        <v>45834700</v>
      </c>
    </row>
    <row r="78" spans="1:12" ht="13.5" customHeight="1">
      <c r="A78" s="386" t="s">
        <v>1858</v>
      </c>
      <c r="B78" s="386"/>
      <c r="C78" s="386"/>
      <c r="D78" s="386"/>
      <c r="E78" s="386"/>
      <c r="F78" s="386"/>
      <c r="G78" s="15">
        <v>69</v>
      </c>
      <c r="H78" s="16"/>
      <c r="I78" s="67">
        <v>259</v>
      </c>
      <c r="J78" s="67">
        <v>11429549</v>
      </c>
      <c r="L78" s="2" t="s">
        <v>1209</v>
      </c>
    </row>
    <row r="79" spans="1:12" ht="13.5" customHeight="1">
      <c r="A79" s="386" t="s">
        <v>673</v>
      </c>
      <c r="B79" s="386"/>
      <c r="C79" s="386"/>
      <c r="D79" s="386"/>
      <c r="E79" s="386"/>
      <c r="F79" s="386"/>
      <c r="G79" s="15">
        <v>70</v>
      </c>
      <c r="H79" s="16"/>
      <c r="I79" s="66">
        <f>I80+I81-I82+I83+I84</f>
        <v>0</v>
      </c>
      <c r="J79" s="66">
        <f>J80+J81-J82+J83+J84</f>
        <v>0</v>
      </c>
      <c r="L79" s="2" t="s">
        <v>1209</v>
      </c>
    </row>
    <row r="80" spans="1:12" ht="13.5" customHeight="1">
      <c r="A80" s="385" t="s">
        <v>1258</v>
      </c>
      <c r="B80" s="385"/>
      <c r="C80" s="385"/>
      <c r="D80" s="385"/>
      <c r="E80" s="385"/>
      <c r="F80" s="385"/>
      <c r="G80" s="15">
        <v>71</v>
      </c>
      <c r="H80" s="16"/>
      <c r="I80" s="67">
        <v>0</v>
      </c>
      <c r="J80" s="67">
        <v>0</v>
      </c>
      <c r="L80" s="2" t="s">
        <v>1209</v>
      </c>
    </row>
    <row r="81" spans="1:12" ht="13.5" customHeight="1">
      <c r="A81" s="385" t="s">
        <v>1259</v>
      </c>
      <c r="B81" s="385"/>
      <c r="C81" s="385"/>
      <c r="D81" s="385"/>
      <c r="E81" s="385"/>
      <c r="F81" s="385"/>
      <c r="G81" s="15">
        <v>72</v>
      </c>
      <c r="H81" s="16"/>
      <c r="I81" s="67">
        <v>0</v>
      </c>
      <c r="J81" s="67">
        <v>0</v>
      </c>
      <c r="L81" s="2" t="s">
        <v>1209</v>
      </c>
    </row>
    <row r="82" spans="1:12" ht="13.5" customHeight="1">
      <c r="A82" s="385" t="s">
        <v>2825</v>
      </c>
      <c r="B82" s="385"/>
      <c r="C82" s="385"/>
      <c r="D82" s="385"/>
      <c r="E82" s="385"/>
      <c r="F82" s="385"/>
      <c r="G82" s="15">
        <v>73</v>
      </c>
      <c r="H82" s="16"/>
      <c r="I82" s="67">
        <v>0</v>
      </c>
      <c r="J82" s="67">
        <v>0</v>
      </c>
      <c r="L82" s="2" t="s">
        <v>1209</v>
      </c>
    </row>
    <row r="83" spans="1:12" ht="13.5" customHeight="1">
      <c r="A83" s="385" t="s">
        <v>2826</v>
      </c>
      <c r="B83" s="385"/>
      <c r="C83" s="385"/>
      <c r="D83" s="385"/>
      <c r="E83" s="385"/>
      <c r="F83" s="385"/>
      <c r="G83" s="15">
        <v>74</v>
      </c>
      <c r="H83" s="16"/>
      <c r="I83" s="67">
        <v>0</v>
      </c>
      <c r="J83" s="67">
        <v>0</v>
      </c>
      <c r="L83" s="2" t="s">
        <v>1209</v>
      </c>
    </row>
    <row r="84" spans="1:12" ht="13.5" customHeight="1">
      <c r="A84" s="385" t="s">
        <v>2827</v>
      </c>
      <c r="B84" s="385"/>
      <c r="C84" s="385"/>
      <c r="D84" s="385"/>
      <c r="E84" s="385"/>
      <c r="F84" s="385"/>
      <c r="G84" s="15">
        <v>75</v>
      </c>
      <c r="H84" s="16"/>
      <c r="I84" s="67">
        <v>0</v>
      </c>
      <c r="J84" s="67">
        <v>0</v>
      </c>
      <c r="L84" s="2" t="s">
        <v>1209</v>
      </c>
    </row>
    <row r="85" spans="1:12" ht="13.5" customHeight="1">
      <c r="A85" s="386" t="s">
        <v>2405</v>
      </c>
      <c r="B85" s="386"/>
      <c r="C85" s="386"/>
      <c r="D85" s="386"/>
      <c r="E85" s="386"/>
      <c r="F85" s="386"/>
      <c r="G85" s="15">
        <v>76</v>
      </c>
      <c r="H85" s="16"/>
      <c r="I85" s="67">
        <v>0</v>
      </c>
      <c r="J85" s="67">
        <v>0</v>
      </c>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v>0</v>
      </c>
      <c r="J87" s="67">
        <v>0</v>
      </c>
      <c r="L87" s="2" t="s">
        <v>1209</v>
      </c>
    </row>
    <row r="88" spans="1:12" ht="13.5" customHeight="1">
      <c r="A88" s="385" t="s">
        <v>2828</v>
      </c>
      <c r="B88" s="385"/>
      <c r="C88" s="385"/>
      <c r="D88" s="385"/>
      <c r="E88" s="385"/>
      <c r="F88" s="385"/>
      <c r="G88" s="15">
        <v>79</v>
      </c>
      <c r="H88" s="16"/>
      <c r="I88" s="67">
        <v>0</v>
      </c>
      <c r="J88" s="67">
        <v>0</v>
      </c>
      <c r="L88" s="2" t="s">
        <v>1209</v>
      </c>
    </row>
    <row r="89" spans="1:12" ht="13.5" customHeight="1">
      <c r="A89" s="385" t="s">
        <v>2829</v>
      </c>
      <c r="B89" s="385"/>
      <c r="C89" s="385"/>
      <c r="D89" s="385"/>
      <c r="E89" s="385"/>
      <c r="F89" s="385"/>
      <c r="G89" s="15">
        <v>80</v>
      </c>
      <c r="H89" s="16"/>
      <c r="I89" s="67">
        <v>0</v>
      </c>
      <c r="J89" s="67">
        <v>0</v>
      </c>
      <c r="L89" s="2" t="s">
        <v>1209</v>
      </c>
    </row>
    <row r="90" spans="1:12" ht="13.5" customHeight="1">
      <c r="A90" s="385" t="s">
        <v>2485</v>
      </c>
      <c r="B90" s="385"/>
      <c r="C90" s="385"/>
      <c r="D90" s="385"/>
      <c r="E90" s="385"/>
      <c r="F90" s="385"/>
      <c r="G90" s="15">
        <v>81</v>
      </c>
      <c r="H90" s="16"/>
      <c r="I90" s="67">
        <v>0</v>
      </c>
      <c r="J90" s="67">
        <v>0</v>
      </c>
      <c r="L90" s="2" t="s">
        <v>1209</v>
      </c>
    </row>
    <row r="91" spans="1:12" ht="25.5" customHeight="1">
      <c r="A91" s="385" t="s">
        <v>343</v>
      </c>
      <c r="B91" s="385"/>
      <c r="C91" s="385"/>
      <c r="D91" s="385"/>
      <c r="E91" s="385"/>
      <c r="F91" s="385"/>
      <c r="G91" s="15">
        <v>82</v>
      </c>
      <c r="H91" s="16"/>
      <c r="I91" s="67">
        <v>0</v>
      </c>
      <c r="J91" s="67">
        <v>0</v>
      </c>
      <c r="L91" s="2" t="s">
        <v>1209</v>
      </c>
    </row>
    <row r="92" spans="1:12" ht="13.5" customHeight="1">
      <c r="A92" s="386" t="s">
        <v>2486</v>
      </c>
      <c r="B92" s="386"/>
      <c r="C92" s="386"/>
      <c r="D92" s="386"/>
      <c r="E92" s="386"/>
      <c r="F92" s="386"/>
      <c r="G92" s="15">
        <v>83</v>
      </c>
      <c r="H92" s="16"/>
      <c r="I92" s="66">
        <f>I93-I94</f>
        <v>20596881</v>
      </c>
      <c r="J92" s="66">
        <f>J93-J94</f>
        <v>32175231</v>
      </c>
      <c r="L92" s="2" t="s">
        <v>1209</v>
      </c>
    </row>
    <row r="93" spans="1:10" ht="13.5" customHeight="1">
      <c r="A93" s="385" t="s">
        <v>2830</v>
      </c>
      <c r="B93" s="385"/>
      <c r="C93" s="385"/>
      <c r="D93" s="385"/>
      <c r="E93" s="385"/>
      <c r="F93" s="385"/>
      <c r="G93" s="15">
        <v>84</v>
      </c>
      <c r="H93" s="16"/>
      <c r="I93" s="67">
        <v>20596881</v>
      </c>
      <c r="J93" s="67">
        <v>32175231</v>
      </c>
    </row>
    <row r="94" spans="1:10" ht="13.5" customHeight="1">
      <c r="A94" s="385" t="s">
        <v>2831</v>
      </c>
      <c r="B94" s="385"/>
      <c r="C94" s="385"/>
      <c r="D94" s="385"/>
      <c r="E94" s="385"/>
      <c r="F94" s="385"/>
      <c r="G94" s="15">
        <v>85</v>
      </c>
      <c r="H94" s="16"/>
      <c r="I94" s="67">
        <v>0</v>
      </c>
      <c r="J94" s="67">
        <v>0</v>
      </c>
    </row>
    <row r="95" spans="1:12" ht="13.5" customHeight="1">
      <c r="A95" s="386" t="s">
        <v>2487</v>
      </c>
      <c r="B95" s="386"/>
      <c r="C95" s="386"/>
      <c r="D95" s="386"/>
      <c r="E95" s="386"/>
      <c r="F95" s="386"/>
      <c r="G95" s="15">
        <v>86</v>
      </c>
      <c r="H95" s="16"/>
      <c r="I95" s="66">
        <f>I96-I97</f>
        <v>5095216</v>
      </c>
      <c r="J95" s="66">
        <f>J96-J97</f>
        <v>13105967</v>
      </c>
      <c r="L95" s="2" t="s">
        <v>1209</v>
      </c>
    </row>
    <row r="96" spans="1:10" ht="13.5" customHeight="1">
      <c r="A96" s="385" t="s">
        <v>1257</v>
      </c>
      <c r="B96" s="385"/>
      <c r="C96" s="385"/>
      <c r="D96" s="385"/>
      <c r="E96" s="385"/>
      <c r="F96" s="385"/>
      <c r="G96" s="15">
        <v>87</v>
      </c>
      <c r="H96" s="16"/>
      <c r="I96" s="67">
        <v>5095216</v>
      </c>
      <c r="J96" s="67">
        <v>13105967</v>
      </c>
    </row>
    <row r="97" spans="1:10" ht="13.5" customHeight="1">
      <c r="A97" s="385" t="s">
        <v>2832</v>
      </c>
      <c r="B97" s="385"/>
      <c r="C97" s="385"/>
      <c r="D97" s="385"/>
      <c r="E97" s="385"/>
      <c r="F97" s="385"/>
      <c r="G97" s="15">
        <v>88</v>
      </c>
      <c r="H97" s="16"/>
      <c r="I97" s="67">
        <v>0</v>
      </c>
      <c r="J97" s="67">
        <v>0</v>
      </c>
    </row>
    <row r="98" spans="1:12" ht="13.5" customHeight="1">
      <c r="A98" s="386" t="s">
        <v>748</v>
      </c>
      <c r="B98" s="386"/>
      <c r="C98" s="386"/>
      <c r="D98" s="386"/>
      <c r="E98" s="386"/>
      <c r="F98" s="386"/>
      <c r="G98" s="15">
        <v>89</v>
      </c>
      <c r="H98" s="16"/>
      <c r="I98" s="67">
        <v>0</v>
      </c>
      <c r="J98" s="67">
        <v>0</v>
      </c>
      <c r="L98" s="2" t="s">
        <v>1209</v>
      </c>
    </row>
    <row r="99" spans="1:10" ht="13.5" customHeight="1">
      <c r="A99" s="387" t="s">
        <v>2488</v>
      </c>
      <c r="B99" s="387"/>
      <c r="C99" s="387"/>
      <c r="D99" s="387"/>
      <c r="E99" s="387"/>
      <c r="F99" s="387"/>
      <c r="G99" s="15">
        <v>90</v>
      </c>
      <c r="H99" s="16"/>
      <c r="I99" s="66">
        <f>SUM(I100:I105)</f>
        <v>1228784</v>
      </c>
      <c r="J99" s="66">
        <f>SUM(J100:J105)</f>
        <v>1771648</v>
      </c>
    </row>
    <row r="100" spans="1:10" ht="13.5" customHeight="1">
      <c r="A100" s="385" t="s">
        <v>0</v>
      </c>
      <c r="B100" s="385"/>
      <c r="C100" s="385"/>
      <c r="D100" s="385"/>
      <c r="E100" s="385"/>
      <c r="F100" s="385"/>
      <c r="G100" s="15">
        <v>91</v>
      </c>
      <c r="H100" s="16"/>
      <c r="I100" s="67">
        <v>1228784</v>
      </c>
      <c r="J100" s="67">
        <v>1447503</v>
      </c>
    </row>
    <row r="101" spans="1:10" ht="13.5" customHeight="1">
      <c r="A101" s="385" t="s">
        <v>1</v>
      </c>
      <c r="B101" s="385"/>
      <c r="C101" s="385"/>
      <c r="D101" s="385"/>
      <c r="E101" s="385"/>
      <c r="F101" s="385"/>
      <c r="G101" s="15">
        <v>92</v>
      </c>
      <c r="H101" s="16"/>
      <c r="I101" s="67">
        <v>0</v>
      </c>
      <c r="J101" s="67">
        <v>0</v>
      </c>
    </row>
    <row r="102" spans="1:10" ht="13.5" customHeight="1">
      <c r="A102" s="385" t="s">
        <v>1256</v>
      </c>
      <c r="B102" s="385"/>
      <c r="C102" s="385"/>
      <c r="D102" s="385"/>
      <c r="E102" s="385"/>
      <c r="F102" s="385"/>
      <c r="G102" s="15">
        <v>93</v>
      </c>
      <c r="H102" s="16"/>
      <c r="I102" s="67">
        <v>0</v>
      </c>
      <c r="J102" s="67">
        <v>324145</v>
      </c>
    </row>
    <row r="103" spans="1:10" ht="13.5" customHeight="1">
      <c r="A103" s="385" t="s">
        <v>2833</v>
      </c>
      <c r="B103" s="385"/>
      <c r="C103" s="385"/>
      <c r="D103" s="385"/>
      <c r="E103" s="385"/>
      <c r="F103" s="385"/>
      <c r="G103" s="15">
        <v>94</v>
      </c>
      <c r="H103" s="16"/>
      <c r="I103" s="67">
        <v>0</v>
      </c>
      <c r="J103" s="67">
        <v>0</v>
      </c>
    </row>
    <row r="104" spans="1:10" ht="13.5" customHeight="1">
      <c r="A104" s="385" t="s">
        <v>1270</v>
      </c>
      <c r="B104" s="385"/>
      <c r="C104" s="385"/>
      <c r="D104" s="385"/>
      <c r="E104" s="385"/>
      <c r="F104" s="385"/>
      <c r="G104" s="15">
        <v>95</v>
      </c>
      <c r="H104" s="16"/>
      <c r="I104" s="67">
        <v>0</v>
      </c>
      <c r="J104" s="67">
        <v>0</v>
      </c>
    </row>
    <row r="105" spans="1:10" ht="13.5" customHeight="1">
      <c r="A105" s="385" t="s">
        <v>749</v>
      </c>
      <c r="B105" s="385"/>
      <c r="C105" s="385"/>
      <c r="D105" s="385"/>
      <c r="E105" s="385"/>
      <c r="F105" s="385"/>
      <c r="G105" s="15">
        <v>96</v>
      </c>
      <c r="H105" s="16"/>
      <c r="I105" s="67">
        <v>0</v>
      </c>
      <c r="J105" s="67">
        <v>0</v>
      </c>
    </row>
    <row r="106" spans="1:10" ht="13.5" customHeight="1">
      <c r="A106" s="387" t="s">
        <v>2489</v>
      </c>
      <c r="B106" s="387"/>
      <c r="C106" s="387"/>
      <c r="D106" s="387"/>
      <c r="E106" s="387"/>
      <c r="F106" s="387"/>
      <c r="G106" s="15">
        <v>97</v>
      </c>
      <c r="H106" s="16"/>
      <c r="I106" s="66">
        <f>SUM(I107:I117)</f>
        <v>21403572</v>
      </c>
      <c r="J106" s="66">
        <f>SUM(J107:J117)</f>
        <v>7276691</v>
      </c>
    </row>
    <row r="107" spans="1:10" ht="13.5" customHeight="1">
      <c r="A107" s="385" t="s">
        <v>750</v>
      </c>
      <c r="B107" s="385"/>
      <c r="C107" s="385"/>
      <c r="D107" s="385"/>
      <c r="E107" s="385"/>
      <c r="F107" s="385"/>
      <c r="G107" s="15">
        <v>98</v>
      </c>
      <c r="H107" s="16"/>
      <c r="I107" s="67">
        <v>0</v>
      </c>
      <c r="J107" s="67">
        <v>0</v>
      </c>
    </row>
    <row r="108" spans="1:10" ht="13.5" customHeight="1">
      <c r="A108" s="385" t="s">
        <v>2015</v>
      </c>
      <c r="B108" s="385"/>
      <c r="C108" s="385"/>
      <c r="D108" s="385"/>
      <c r="E108" s="385"/>
      <c r="F108" s="385"/>
      <c r="G108" s="15">
        <v>99</v>
      </c>
      <c r="H108" s="16"/>
      <c r="I108" s="67">
        <v>0</v>
      </c>
      <c r="J108" s="67">
        <v>0</v>
      </c>
    </row>
    <row r="109" spans="1:10" ht="13.5" customHeight="1">
      <c r="A109" s="385" t="s">
        <v>2019</v>
      </c>
      <c r="B109" s="385"/>
      <c r="C109" s="385"/>
      <c r="D109" s="385"/>
      <c r="E109" s="385"/>
      <c r="F109" s="385"/>
      <c r="G109" s="15">
        <v>100</v>
      </c>
      <c r="H109" s="16"/>
      <c r="I109" s="67">
        <v>0</v>
      </c>
      <c r="J109" s="67">
        <v>0</v>
      </c>
    </row>
    <row r="110" spans="1:10" ht="24.75" customHeight="1">
      <c r="A110" s="385" t="s">
        <v>592</v>
      </c>
      <c r="B110" s="385"/>
      <c r="C110" s="385"/>
      <c r="D110" s="385"/>
      <c r="E110" s="385"/>
      <c r="F110" s="385"/>
      <c r="G110" s="15">
        <v>101</v>
      </c>
      <c r="H110" s="16"/>
      <c r="I110" s="67">
        <v>0</v>
      </c>
      <c r="J110" s="67">
        <v>0</v>
      </c>
    </row>
    <row r="111" spans="1:10" ht="13.5" customHeight="1">
      <c r="A111" s="385" t="s">
        <v>2020</v>
      </c>
      <c r="B111" s="385"/>
      <c r="C111" s="385"/>
      <c r="D111" s="385"/>
      <c r="E111" s="385"/>
      <c r="F111" s="385"/>
      <c r="G111" s="15">
        <v>102</v>
      </c>
      <c r="H111" s="16"/>
      <c r="I111" s="67">
        <v>0</v>
      </c>
      <c r="J111" s="67">
        <v>0</v>
      </c>
    </row>
    <row r="112" spans="1:10" ht="13.5" customHeight="1">
      <c r="A112" s="385" t="s">
        <v>2021</v>
      </c>
      <c r="B112" s="385"/>
      <c r="C112" s="385"/>
      <c r="D112" s="385"/>
      <c r="E112" s="385"/>
      <c r="F112" s="385"/>
      <c r="G112" s="15">
        <v>103</v>
      </c>
      <c r="H112" s="16"/>
      <c r="I112" s="67">
        <v>10652270</v>
      </c>
      <c r="J112" s="67">
        <v>6870544</v>
      </c>
    </row>
    <row r="113" spans="1:10" ht="13.5" customHeight="1">
      <c r="A113" s="385" t="s">
        <v>2016</v>
      </c>
      <c r="B113" s="385"/>
      <c r="C113" s="385"/>
      <c r="D113" s="385"/>
      <c r="E113" s="385"/>
      <c r="F113" s="385"/>
      <c r="G113" s="15">
        <v>104</v>
      </c>
      <c r="H113" s="16"/>
      <c r="I113" s="67">
        <v>0</v>
      </c>
      <c r="J113" s="67">
        <v>0</v>
      </c>
    </row>
    <row r="114" spans="1:10" ht="13.5" customHeight="1">
      <c r="A114" s="385" t="s">
        <v>2017</v>
      </c>
      <c r="B114" s="385"/>
      <c r="C114" s="385"/>
      <c r="D114" s="385"/>
      <c r="E114" s="385"/>
      <c r="F114" s="385"/>
      <c r="G114" s="15">
        <v>105</v>
      </c>
      <c r="H114" s="16"/>
      <c r="I114" s="67">
        <v>0</v>
      </c>
      <c r="J114" s="67">
        <v>0</v>
      </c>
    </row>
    <row r="115" spans="1:10" ht="13.5" customHeight="1">
      <c r="A115" s="385" t="s">
        <v>2018</v>
      </c>
      <c r="B115" s="385"/>
      <c r="C115" s="385"/>
      <c r="D115" s="385"/>
      <c r="E115" s="385"/>
      <c r="F115" s="385"/>
      <c r="G115" s="15">
        <v>106</v>
      </c>
      <c r="H115" s="16"/>
      <c r="I115" s="67">
        <v>0</v>
      </c>
      <c r="J115" s="67">
        <v>0</v>
      </c>
    </row>
    <row r="116" spans="1:10" ht="13.5" customHeight="1">
      <c r="A116" s="385" t="s">
        <v>1271</v>
      </c>
      <c r="B116" s="385"/>
      <c r="C116" s="385"/>
      <c r="D116" s="385"/>
      <c r="E116" s="385"/>
      <c r="F116" s="385"/>
      <c r="G116" s="15">
        <v>107</v>
      </c>
      <c r="H116" s="16"/>
      <c r="I116" s="67">
        <v>10751302</v>
      </c>
      <c r="J116" s="67">
        <v>406147</v>
      </c>
    </row>
    <row r="117" spans="1:10" ht="13.5" customHeight="1">
      <c r="A117" s="385" t="s">
        <v>1272</v>
      </c>
      <c r="B117" s="385"/>
      <c r="C117" s="385"/>
      <c r="D117" s="385"/>
      <c r="E117" s="385"/>
      <c r="F117" s="385"/>
      <c r="G117" s="15">
        <v>108</v>
      </c>
      <c r="H117" s="16"/>
      <c r="I117" s="67">
        <v>0</v>
      </c>
      <c r="J117" s="67">
        <v>0</v>
      </c>
    </row>
    <row r="118" spans="1:10" ht="13.5" customHeight="1">
      <c r="A118" s="387" t="s">
        <v>2490</v>
      </c>
      <c r="B118" s="387"/>
      <c r="C118" s="387"/>
      <c r="D118" s="387"/>
      <c r="E118" s="387"/>
      <c r="F118" s="387"/>
      <c r="G118" s="15">
        <v>109</v>
      </c>
      <c r="H118" s="16"/>
      <c r="I118" s="66">
        <f>SUM(I119:I132)</f>
        <v>19730759</v>
      </c>
      <c r="J118" s="66">
        <f>SUM(J119:J132)</f>
        <v>45615529</v>
      </c>
    </row>
    <row r="119" spans="1:10" ht="13.5" customHeight="1">
      <c r="A119" s="385" t="s">
        <v>750</v>
      </c>
      <c r="B119" s="385"/>
      <c r="C119" s="385"/>
      <c r="D119" s="385"/>
      <c r="E119" s="385"/>
      <c r="F119" s="385"/>
      <c r="G119" s="15">
        <v>110</v>
      </c>
      <c r="H119" s="16"/>
      <c r="I119" s="67">
        <v>0</v>
      </c>
      <c r="J119" s="67">
        <v>0</v>
      </c>
    </row>
    <row r="120" spans="1:10" ht="13.5" customHeight="1">
      <c r="A120" s="385" t="s">
        <v>2015</v>
      </c>
      <c r="B120" s="385"/>
      <c r="C120" s="385"/>
      <c r="D120" s="385"/>
      <c r="E120" s="385"/>
      <c r="F120" s="385"/>
      <c r="G120" s="15">
        <v>111</v>
      </c>
      <c r="H120" s="16"/>
      <c r="I120" s="67">
        <v>0</v>
      </c>
      <c r="J120" s="67">
        <v>0</v>
      </c>
    </row>
    <row r="121" spans="1:10" ht="13.5" customHeight="1">
      <c r="A121" s="385" t="s">
        <v>2019</v>
      </c>
      <c r="B121" s="385"/>
      <c r="C121" s="385"/>
      <c r="D121" s="385"/>
      <c r="E121" s="385"/>
      <c r="F121" s="385"/>
      <c r="G121" s="15">
        <v>112</v>
      </c>
      <c r="H121" s="16"/>
      <c r="I121" s="67">
        <v>0</v>
      </c>
      <c r="J121" s="67">
        <v>0</v>
      </c>
    </row>
    <row r="122" spans="1:10" ht="24.75" customHeight="1">
      <c r="A122" s="385" t="s">
        <v>592</v>
      </c>
      <c r="B122" s="385"/>
      <c r="C122" s="385"/>
      <c r="D122" s="385"/>
      <c r="E122" s="385"/>
      <c r="F122" s="385"/>
      <c r="G122" s="15">
        <v>113</v>
      </c>
      <c r="H122" s="16"/>
      <c r="I122" s="67">
        <v>0</v>
      </c>
      <c r="J122" s="67">
        <v>0</v>
      </c>
    </row>
    <row r="123" spans="1:10" ht="13.5" customHeight="1">
      <c r="A123" s="385" t="s">
        <v>2020</v>
      </c>
      <c r="B123" s="385"/>
      <c r="C123" s="385"/>
      <c r="D123" s="385"/>
      <c r="E123" s="385"/>
      <c r="F123" s="385"/>
      <c r="G123" s="15">
        <v>114</v>
      </c>
      <c r="H123" s="16"/>
      <c r="I123" s="67">
        <v>97985</v>
      </c>
      <c r="J123" s="67">
        <v>197587</v>
      </c>
    </row>
    <row r="124" spans="1:10" ht="13.5" customHeight="1">
      <c r="A124" s="385" t="s">
        <v>2021</v>
      </c>
      <c r="B124" s="385"/>
      <c r="C124" s="385"/>
      <c r="D124" s="385"/>
      <c r="E124" s="385"/>
      <c r="F124" s="385"/>
      <c r="G124" s="15">
        <v>115</v>
      </c>
      <c r="H124" s="16"/>
      <c r="I124" s="67">
        <v>3794363</v>
      </c>
      <c r="J124" s="67">
        <v>3797205</v>
      </c>
    </row>
    <row r="125" spans="1:10" ht="13.5" customHeight="1">
      <c r="A125" s="385" t="s">
        <v>2016</v>
      </c>
      <c r="B125" s="385"/>
      <c r="C125" s="385"/>
      <c r="D125" s="385"/>
      <c r="E125" s="385"/>
      <c r="F125" s="385"/>
      <c r="G125" s="15">
        <v>116</v>
      </c>
      <c r="H125" s="16"/>
      <c r="I125" s="67">
        <v>133551</v>
      </c>
      <c r="J125" s="67">
        <v>230423</v>
      </c>
    </row>
    <row r="126" spans="1:10" ht="13.5" customHeight="1">
      <c r="A126" s="385" t="s">
        <v>2017</v>
      </c>
      <c r="B126" s="385"/>
      <c r="C126" s="385"/>
      <c r="D126" s="385"/>
      <c r="E126" s="385"/>
      <c r="F126" s="385"/>
      <c r="G126" s="15">
        <v>117</v>
      </c>
      <c r="H126" s="16"/>
      <c r="I126" s="67">
        <v>2037167</v>
      </c>
      <c r="J126" s="67">
        <v>8733959</v>
      </c>
    </row>
    <row r="127" spans="1:10" ht="13.5" customHeight="1">
      <c r="A127" s="385" t="s">
        <v>2018</v>
      </c>
      <c r="B127" s="385"/>
      <c r="C127" s="385"/>
      <c r="D127" s="385"/>
      <c r="E127" s="385"/>
      <c r="F127" s="385"/>
      <c r="G127" s="15">
        <v>118</v>
      </c>
      <c r="H127" s="16"/>
      <c r="I127" s="67">
        <v>0</v>
      </c>
      <c r="J127" s="67">
        <v>28000000</v>
      </c>
    </row>
    <row r="128" spans="1:10" ht="13.5" customHeight="1">
      <c r="A128" s="385" t="s">
        <v>2022</v>
      </c>
      <c r="B128" s="385"/>
      <c r="C128" s="385"/>
      <c r="D128" s="385"/>
      <c r="E128" s="385"/>
      <c r="F128" s="385"/>
      <c r="G128" s="15">
        <v>119</v>
      </c>
      <c r="H128" s="16"/>
      <c r="I128" s="67">
        <v>898031</v>
      </c>
      <c r="J128" s="67">
        <v>1152568</v>
      </c>
    </row>
    <row r="129" spans="1:10" ht="13.5" customHeight="1">
      <c r="A129" s="385" t="s">
        <v>2023</v>
      </c>
      <c r="B129" s="385"/>
      <c r="C129" s="385"/>
      <c r="D129" s="385"/>
      <c r="E129" s="385"/>
      <c r="F129" s="385"/>
      <c r="G129" s="15">
        <v>120</v>
      </c>
      <c r="H129" s="16"/>
      <c r="I129" s="67">
        <v>1762937</v>
      </c>
      <c r="J129" s="67">
        <v>2601717</v>
      </c>
    </row>
    <row r="130" spans="1:10" ht="13.5" customHeight="1">
      <c r="A130" s="385" t="s">
        <v>2024</v>
      </c>
      <c r="B130" s="385"/>
      <c r="C130" s="385"/>
      <c r="D130" s="385"/>
      <c r="E130" s="385"/>
      <c r="F130" s="385"/>
      <c r="G130" s="15">
        <v>121</v>
      </c>
      <c r="H130" s="16"/>
      <c r="I130" s="67">
        <v>0</v>
      </c>
      <c r="J130" s="67">
        <v>0</v>
      </c>
    </row>
    <row r="131" spans="1:10" ht="13.5" customHeight="1">
      <c r="A131" s="385" t="s">
        <v>704</v>
      </c>
      <c r="B131" s="385"/>
      <c r="C131" s="385"/>
      <c r="D131" s="385"/>
      <c r="E131" s="385"/>
      <c r="F131" s="385"/>
      <c r="G131" s="15">
        <v>122</v>
      </c>
      <c r="H131" s="16"/>
      <c r="I131" s="67">
        <v>0</v>
      </c>
      <c r="J131" s="67">
        <v>0</v>
      </c>
    </row>
    <row r="132" spans="1:10" ht="13.5" customHeight="1">
      <c r="A132" s="385" t="s">
        <v>162</v>
      </c>
      <c r="B132" s="385"/>
      <c r="C132" s="385"/>
      <c r="D132" s="385"/>
      <c r="E132" s="385"/>
      <c r="F132" s="385"/>
      <c r="G132" s="15">
        <v>123</v>
      </c>
      <c r="H132" s="16"/>
      <c r="I132" s="67">
        <v>11006725</v>
      </c>
      <c r="J132" s="67">
        <v>902070</v>
      </c>
    </row>
    <row r="133" spans="1:10" ht="24.75" customHeight="1">
      <c r="A133" s="387" t="s">
        <v>593</v>
      </c>
      <c r="B133" s="387"/>
      <c r="C133" s="387"/>
      <c r="D133" s="387"/>
      <c r="E133" s="387"/>
      <c r="F133" s="387"/>
      <c r="G133" s="15">
        <v>124</v>
      </c>
      <c r="H133" s="16"/>
      <c r="I133" s="67">
        <v>10707886</v>
      </c>
      <c r="J133" s="67">
        <v>10807042</v>
      </c>
    </row>
    <row r="134" spans="1:10" ht="13.5" customHeight="1">
      <c r="A134" s="387" t="s">
        <v>360</v>
      </c>
      <c r="B134" s="387"/>
      <c r="C134" s="387"/>
      <c r="D134" s="387"/>
      <c r="E134" s="387"/>
      <c r="F134" s="387"/>
      <c r="G134" s="15">
        <v>125</v>
      </c>
      <c r="H134" s="16"/>
      <c r="I134" s="66">
        <f>I76+I99+I106+I118+I133</f>
        <v>114989557</v>
      </c>
      <c r="J134" s="66">
        <f>J76+J99+J106+J118+J133</f>
        <v>168016357</v>
      </c>
    </row>
    <row r="135" spans="1:10" ht="13.5" customHeight="1">
      <c r="A135" s="388" t="s">
        <v>1512</v>
      </c>
      <c r="B135" s="388"/>
      <c r="C135" s="388"/>
      <c r="D135" s="388"/>
      <c r="E135" s="388"/>
      <c r="F135" s="388"/>
      <c r="G135" s="17">
        <v>126</v>
      </c>
      <c r="H135" s="18"/>
      <c r="I135" s="68"/>
      <c r="J135" s="68"/>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9" activePane="bottomLeft" state="frozen"/>
      <selection pane="topLeft" activeCell="A1" sqref="A1"/>
      <selection pane="bottomLeft" activeCell="I61" sqref="I6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20"/>
      <c r="C2" s="420"/>
      <c r="D2" s="420"/>
      <c r="E2" s="420"/>
      <c r="F2" s="420"/>
      <c r="G2" s="420"/>
      <c r="H2" s="420"/>
      <c r="I2" s="421"/>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2"/>
      <c r="C3" s="422"/>
      <c r="D3" s="422"/>
      <c r="E3" s="422"/>
      <c r="F3" s="422"/>
      <c r="G3" s="422"/>
      <c r="H3" s="422"/>
      <c r="I3" s="423"/>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83938812619; RIJEKA PLUS d.o.o.</v>
      </c>
      <c r="B5" s="418"/>
      <c r="C5" s="418"/>
      <c r="D5" s="418"/>
      <c r="E5" s="418"/>
      <c r="F5" s="418"/>
      <c r="G5" s="418"/>
      <c r="H5" s="418"/>
      <c r="I5" s="418"/>
      <c r="J5" s="419"/>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54156779</v>
      </c>
      <c r="J8" s="80">
        <f>SUM(J9:J13)</f>
        <v>82166866</v>
      </c>
      <c r="Q8" s="2">
        <f>IF(OR(MIN(I70:J75)&lt;&gt;0,MAX(I70:J75)&lt;&gt;0),1,0)</f>
        <v>0</v>
      </c>
      <c r="R8" s="69" t="s">
        <v>1215</v>
      </c>
    </row>
    <row r="9" spans="1:10" s="2" customFormat="1" ht="14.25" customHeight="1">
      <c r="A9" s="385" t="s">
        <v>347</v>
      </c>
      <c r="B9" s="385"/>
      <c r="C9" s="385"/>
      <c r="D9" s="385"/>
      <c r="E9" s="385"/>
      <c r="F9" s="385"/>
      <c r="G9" s="15">
        <v>128</v>
      </c>
      <c r="H9" s="16"/>
      <c r="I9" s="67">
        <v>0</v>
      </c>
      <c r="J9" s="67">
        <v>0</v>
      </c>
    </row>
    <row r="10" spans="1:10" s="2" customFormat="1" ht="14.25" customHeight="1">
      <c r="A10" s="385" t="s">
        <v>964</v>
      </c>
      <c r="B10" s="385"/>
      <c r="C10" s="385"/>
      <c r="D10" s="385"/>
      <c r="E10" s="385"/>
      <c r="F10" s="385"/>
      <c r="G10" s="15">
        <v>129</v>
      </c>
      <c r="H10" s="16"/>
      <c r="I10" s="67">
        <v>50838818</v>
      </c>
      <c r="J10" s="67">
        <v>67746338</v>
      </c>
    </row>
    <row r="11" spans="1:10" s="2" customFormat="1" ht="14.25" customHeight="1">
      <c r="A11" s="385" t="s">
        <v>1086</v>
      </c>
      <c r="B11" s="385"/>
      <c r="C11" s="385"/>
      <c r="D11" s="385"/>
      <c r="E11" s="385"/>
      <c r="F11" s="385"/>
      <c r="G11" s="15">
        <v>130</v>
      </c>
      <c r="H11" s="16"/>
      <c r="I11" s="67">
        <v>0</v>
      </c>
      <c r="J11" s="67">
        <v>0</v>
      </c>
    </row>
    <row r="12" spans="1:10" s="2" customFormat="1" ht="14.25" customHeight="1">
      <c r="A12" s="385" t="s">
        <v>1087</v>
      </c>
      <c r="B12" s="385"/>
      <c r="C12" s="385"/>
      <c r="D12" s="385"/>
      <c r="E12" s="385"/>
      <c r="F12" s="385"/>
      <c r="G12" s="15">
        <v>131</v>
      </c>
      <c r="H12" s="16"/>
      <c r="I12" s="67">
        <v>0</v>
      </c>
      <c r="J12" s="67">
        <v>0</v>
      </c>
    </row>
    <row r="13" spans="1:10" s="2" customFormat="1" ht="14.25" customHeight="1">
      <c r="A13" s="385" t="s">
        <v>2922</v>
      </c>
      <c r="B13" s="385"/>
      <c r="C13" s="385"/>
      <c r="D13" s="385"/>
      <c r="E13" s="385"/>
      <c r="F13" s="385"/>
      <c r="G13" s="15">
        <v>132</v>
      </c>
      <c r="H13" s="16"/>
      <c r="I13" s="67">
        <v>3317961</v>
      </c>
      <c r="J13" s="67">
        <v>14420528</v>
      </c>
    </row>
    <row r="14" spans="1:10" s="2" customFormat="1" ht="14.25" customHeight="1">
      <c r="A14" s="387" t="s">
        <v>2492</v>
      </c>
      <c r="B14" s="387"/>
      <c r="C14" s="387"/>
      <c r="D14" s="387"/>
      <c r="E14" s="387"/>
      <c r="F14" s="387"/>
      <c r="G14" s="15">
        <v>133</v>
      </c>
      <c r="H14" s="16"/>
      <c r="I14" s="66">
        <f>I15+I16+I20+I24+I25+I26+I29+I36</f>
        <v>46640200</v>
      </c>
      <c r="J14" s="66">
        <f>J15+J16+J20+J24+J25+J26+J29+J36</f>
        <v>64977390</v>
      </c>
    </row>
    <row r="15" spans="1:12" s="2" customFormat="1" ht="14.25" customHeight="1">
      <c r="A15" s="385" t="s">
        <v>1005</v>
      </c>
      <c r="B15" s="385"/>
      <c r="C15" s="385"/>
      <c r="D15" s="385"/>
      <c r="E15" s="385"/>
      <c r="F15" s="385"/>
      <c r="G15" s="15">
        <v>134</v>
      </c>
      <c r="H15" s="16"/>
      <c r="I15" s="67">
        <v>0</v>
      </c>
      <c r="J15" s="67">
        <v>0</v>
      </c>
      <c r="L15" s="2" t="s">
        <v>1209</v>
      </c>
    </row>
    <row r="16" spans="1:10" s="2" customFormat="1" ht="14.25" customHeight="1">
      <c r="A16" s="385" t="s">
        <v>2493</v>
      </c>
      <c r="B16" s="385"/>
      <c r="C16" s="385"/>
      <c r="D16" s="385"/>
      <c r="E16" s="385"/>
      <c r="F16" s="385"/>
      <c r="G16" s="15">
        <v>135</v>
      </c>
      <c r="H16" s="16"/>
      <c r="I16" s="66">
        <f>SUM(I17:I19)</f>
        <v>19254941</v>
      </c>
      <c r="J16" s="66">
        <f>SUM(J17:J19)</f>
        <v>34272639</v>
      </c>
    </row>
    <row r="17" spans="1:10" s="2" customFormat="1" ht="14.25" customHeight="1">
      <c r="A17" s="416" t="s">
        <v>1273</v>
      </c>
      <c r="B17" s="416"/>
      <c r="C17" s="416"/>
      <c r="D17" s="416"/>
      <c r="E17" s="416"/>
      <c r="F17" s="416"/>
      <c r="G17" s="15">
        <v>136</v>
      </c>
      <c r="H17" s="16"/>
      <c r="I17" s="67">
        <v>2152589</v>
      </c>
      <c r="J17" s="67">
        <v>5267639</v>
      </c>
    </row>
    <row r="18" spans="1:10" s="2" customFormat="1" ht="14.25" customHeight="1">
      <c r="A18" s="416" t="s">
        <v>1274</v>
      </c>
      <c r="B18" s="416"/>
      <c r="C18" s="416"/>
      <c r="D18" s="416"/>
      <c r="E18" s="416"/>
      <c r="F18" s="416"/>
      <c r="G18" s="15">
        <v>137</v>
      </c>
      <c r="H18" s="16"/>
      <c r="I18" s="67">
        <v>0</v>
      </c>
      <c r="J18" s="67">
        <v>0</v>
      </c>
    </row>
    <row r="19" spans="1:10" s="2" customFormat="1" ht="14.25" customHeight="1">
      <c r="A19" s="416" t="s">
        <v>2959</v>
      </c>
      <c r="B19" s="416"/>
      <c r="C19" s="416"/>
      <c r="D19" s="416"/>
      <c r="E19" s="416"/>
      <c r="F19" s="416"/>
      <c r="G19" s="15">
        <v>138</v>
      </c>
      <c r="H19" s="16"/>
      <c r="I19" s="67">
        <v>17102352</v>
      </c>
      <c r="J19" s="67">
        <v>29005000</v>
      </c>
    </row>
    <row r="20" spans="1:10" s="2" customFormat="1" ht="14.25" customHeight="1">
      <c r="A20" s="385" t="s">
        <v>2494</v>
      </c>
      <c r="B20" s="385"/>
      <c r="C20" s="385"/>
      <c r="D20" s="385"/>
      <c r="E20" s="385"/>
      <c r="F20" s="385"/>
      <c r="G20" s="15">
        <v>139</v>
      </c>
      <c r="H20" s="16"/>
      <c r="I20" s="66">
        <f>SUM(I21:I23)</f>
        <v>15344143</v>
      </c>
      <c r="J20" s="66">
        <f>SUM(J21:J23)</f>
        <v>18075154</v>
      </c>
    </row>
    <row r="21" spans="1:10" s="2" customFormat="1" ht="14.25" customHeight="1">
      <c r="A21" s="416" t="s">
        <v>960</v>
      </c>
      <c r="B21" s="416"/>
      <c r="C21" s="416"/>
      <c r="D21" s="416"/>
      <c r="E21" s="416"/>
      <c r="F21" s="416"/>
      <c r="G21" s="15">
        <v>140</v>
      </c>
      <c r="H21" s="16"/>
      <c r="I21" s="67">
        <v>9849076</v>
      </c>
      <c r="J21" s="67">
        <v>11613992</v>
      </c>
    </row>
    <row r="22" spans="1:10" s="2" customFormat="1" ht="14.25" customHeight="1">
      <c r="A22" s="416" t="s">
        <v>1883</v>
      </c>
      <c r="B22" s="416"/>
      <c r="C22" s="416"/>
      <c r="D22" s="416"/>
      <c r="E22" s="416"/>
      <c r="F22" s="416"/>
      <c r="G22" s="15">
        <v>141</v>
      </c>
      <c r="H22" s="16"/>
      <c r="I22" s="67">
        <v>3393431</v>
      </c>
      <c r="J22" s="67">
        <v>4017113</v>
      </c>
    </row>
    <row r="23" spans="1:10" s="2" customFormat="1" ht="14.25" customHeight="1">
      <c r="A23" s="416" t="s">
        <v>1884</v>
      </c>
      <c r="B23" s="416"/>
      <c r="C23" s="416"/>
      <c r="D23" s="416"/>
      <c r="E23" s="416"/>
      <c r="F23" s="416"/>
      <c r="G23" s="15">
        <v>142</v>
      </c>
      <c r="H23" s="16"/>
      <c r="I23" s="67">
        <v>2101636</v>
      </c>
      <c r="J23" s="67">
        <v>2444049</v>
      </c>
    </row>
    <row r="24" spans="1:10" s="2" customFormat="1" ht="14.25" customHeight="1">
      <c r="A24" s="385" t="s">
        <v>1006</v>
      </c>
      <c r="B24" s="385"/>
      <c r="C24" s="385"/>
      <c r="D24" s="385"/>
      <c r="E24" s="385"/>
      <c r="F24" s="385"/>
      <c r="G24" s="15">
        <v>143</v>
      </c>
      <c r="H24" s="16"/>
      <c r="I24" s="67">
        <v>5674517</v>
      </c>
      <c r="J24" s="67">
        <v>5786866</v>
      </c>
    </row>
    <row r="25" spans="1:10" s="2" customFormat="1" ht="14.25" customHeight="1">
      <c r="A25" s="385" t="s">
        <v>1007</v>
      </c>
      <c r="B25" s="385"/>
      <c r="C25" s="385"/>
      <c r="D25" s="385"/>
      <c r="E25" s="385"/>
      <c r="F25" s="385"/>
      <c r="G25" s="15">
        <v>144</v>
      </c>
      <c r="H25" s="16"/>
      <c r="I25" s="67">
        <v>5218953</v>
      </c>
      <c r="J25" s="67">
        <v>5285287</v>
      </c>
    </row>
    <row r="26" spans="1:12" s="2" customFormat="1" ht="14.25" customHeight="1">
      <c r="A26" s="385" t="s">
        <v>2495</v>
      </c>
      <c r="B26" s="385"/>
      <c r="C26" s="385"/>
      <c r="D26" s="385"/>
      <c r="E26" s="385"/>
      <c r="F26" s="385"/>
      <c r="G26" s="15">
        <v>145</v>
      </c>
      <c r="H26" s="16"/>
      <c r="I26" s="66">
        <f>SUM(I27:I28)</f>
        <v>779383</v>
      </c>
      <c r="J26" s="66">
        <f>SUM(J27:J28)</f>
        <v>974335</v>
      </c>
      <c r="L26" s="2" t="s">
        <v>1209</v>
      </c>
    </row>
    <row r="27" spans="1:12" s="2" customFormat="1" ht="14.25" customHeight="1">
      <c r="A27" s="416" t="s">
        <v>1275</v>
      </c>
      <c r="B27" s="416"/>
      <c r="C27" s="416"/>
      <c r="D27" s="416"/>
      <c r="E27" s="416"/>
      <c r="F27" s="416"/>
      <c r="G27" s="15">
        <v>146</v>
      </c>
      <c r="H27" s="16"/>
      <c r="I27" s="67"/>
      <c r="J27" s="67"/>
      <c r="L27" s="2" t="s">
        <v>1209</v>
      </c>
    </row>
    <row r="28" spans="1:12" s="2" customFormat="1" ht="14.25" customHeight="1">
      <c r="A28" s="416" t="s">
        <v>1276</v>
      </c>
      <c r="B28" s="416"/>
      <c r="C28" s="416"/>
      <c r="D28" s="416"/>
      <c r="E28" s="416"/>
      <c r="F28" s="416"/>
      <c r="G28" s="15">
        <v>147</v>
      </c>
      <c r="H28" s="16"/>
      <c r="I28" s="67">
        <v>779383</v>
      </c>
      <c r="J28" s="67">
        <v>974335</v>
      </c>
      <c r="L28" s="2" t="s">
        <v>1209</v>
      </c>
    </row>
    <row r="29" spans="1:12" s="2" customFormat="1" ht="14.25" customHeight="1">
      <c r="A29" s="385" t="s">
        <v>2496</v>
      </c>
      <c r="B29" s="385"/>
      <c r="C29" s="385"/>
      <c r="D29" s="385"/>
      <c r="E29" s="385"/>
      <c r="F29" s="385"/>
      <c r="G29" s="15">
        <v>148</v>
      </c>
      <c r="H29" s="16"/>
      <c r="I29" s="66">
        <f>SUM(I30:I35)</f>
        <v>86399</v>
      </c>
      <c r="J29" s="66">
        <f>SUM(J30:J35)</f>
        <v>424264</v>
      </c>
      <c r="L29" s="2" t="s">
        <v>1209</v>
      </c>
    </row>
    <row r="30" spans="1:12" s="2" customFormat="1" ht="14.25" customHeight="1">
      <c r="A30" s="416" t="s">
        <v>1277</v>
      </c>
      <c r="B30" s="416"/>
      <c r="C30" s="416"/>
      <c r="D30" s="416"/>
      <c r="E30" s="416"/>
      <c r="F30" s="416"/>
      <c r="G30" s="15">
        <v>149</v>
      </c>
      <c r="H30" s="16"/>
      <c r="I30" s="67">
        <v>86399</v>
      </c>
      <c r="J30" s="67">
        <v>100119</v>
      </c>
      <c r="L30" s="2" t="s">
        <v>1209</v>
      </c>
    </row>
    <row r="31" spans="1:12" s="2" customFormat="1" ht="14.25" customHeight="1">
      <c r="A31" s="416" t="s">
        <v>1278</v>
      </c>
      <c r="B31" s="416"/>
      <c r="C31" s="416"/>
      <c r="D31" s="416"/>
      <c r="E31" s="416"/>
      <c r="F31" s="416"/>
      <c r="G31" s="15">
        <v>150</v>
      </c>
      <c r="H31" s="16"/>
      <c r="I31" s="67">
        <v>0</v>
      </c>
      <c r="J31" s="67">
        <v>0</v>
      </c>
      <c r="L31" s="2" t="s">
        <v>1209</v>
      </c>
    </row>
    <row r="32" spans="1:12" s="2" customFormat="1" ht="14.25" customHeight="1">
      <c r="A32" s="416" t="s">
        <v>1279</v>
      </c>
      <c r="B32" s="416"/>
      <c r="C32" s="416"/>
      <c r="D32" s="416"/>
      <c r="E32" s="416"/>
      <c r="F32" s="416"/>
      <c r="G32" s="15">
        <v>151</v>
      </c>
      <c r="H32" s="16"/>
      <c r="I32" s="67">
        <v>0</v>
      </c>
      <c r="J32" s="67">
        <v>324145</v>
      </c>
      <c r="L32" s="2" t="s">
        <v>1209</v>
      </c>
    </row>
    <row r="33" spans="1:12" s="2" customFormat="1" ht="14.25" customHeight="1">
      <c r="A33" s="416" t="s">
        <v>1280</v>
      </c>
      <c r="B33" s="416"/>
      <c r="C33" s="416"/>
      <c r="D33" s="416"/>
      <c r="E33" s="416"/>
      <c r="F33" s="416"/>
      <c r="G33" s="15">
        <v>152</v>
      </c>
      <c r="H33" s="16"/>
      <c r="I33" s="67">
        <v>0</v>
      </c>
      <c r="J33" s="67">
        <v>0</v>
      </c>
      <c r="L33" s="2" t="s">
        <v>1209</v>
      </c>
    </row>
    <row r="34" spans="1:12" s="2" customFormat="1" ht="14.25" customHeight="1">
      <c r="A34" s="416" t="s">
        <v>1281</v>
      </c>
      <c r="B34" s="416"/>
      <c r="C34" s="416"/>
      <c r="D34" s="416"/>
      <c r="E34" s="416"/>
      <c r="F34" s="416"/>
      <c r="G34" s="15">
        <v>153</v>
      </c>
      <c r="H34" s="16"/>
      <c r="I34" s="67">
        <v>0</v>
      </c>
      <c r="J34" s="67">
        <v>0</v>
      </c>
      <c r="L34" s="2" t="s">
        <v>1209</v>
      </c>
    </row>
    <row r="35" spans="1:12" s="2" customFormat="1" ht="14.25" customHeight="1">
      <c r="A35" s="416" t="s">
        <v>1282</v>
      </c>
      <c r="B35" s="416"/>
      <c r="C35" s="416"/>
      <c r="D35" s="416"/>
      <c r="E35" s="416"/>
      <c r="F35" s="416"/>
      <c r="G35" s="15">
        <v>154</v>
      </c>
      <c r="H35" s="16"/>
      <c r="I35" s="67">
        <v>0</v>
      </c>
      <c r="J35" s="67">
        <v>0</v>
      </c>
      <c r="L35" s="2" t="s">
        <v>1209</v>
      </c>
    </row>
    <row r="36" spans="1:10" s="2" customFormat="1" ht="14.25" customHeight="1">
      <c r="A36" s="385" t="s">
        <v>147</v>
      </c>
      <c r="B36" s="385"/>
      <c r="C36" s="385"/>
      <c r="D36" s="385"/>
      <c r="E36" s="385"/>
      <c r="F36" s="385"/>
      <c r="G36" s="15">
        <v>155</v>
      </c>
      <c r="H36" s="16"/>
      <c r="I36" s="67">
        <v>281864</v>
      </c>
      <c r="J36" s="67">
        <v>158845</v>
      </c>
    </row>
    <row r="37" spans="1:10" s="2" customFormat="1" ht="14.25" customHeight="1">
      <c r="A37" s="387" t="s">
        <v>2497</v>
      </c>
      <c r="B37" s="387"/>
      <c r="C37" s="387"/>
      <c r="D37" s="387"/>
      <c r="E37" s="387"/>
      <c r="F37" s="387"/>
      <c r="G37" s="15">
        <v>156</v>
      </c>
      <c r="H37" s="16"/>
      <c r="I37" s="66">
        <f>SUM(I38:I47)</f>
        <v>868711</v>
      </c>
      <c r="J37" s="66">
        <f>SUM(J38:J47)</f>
        <v>1587659</v>
      </c>
    </row>
    <row r="38" spans="1:10" s="2" customFormat="1" ht="14.25" customHeight="1">
      <c r="A38" s="385" t="s">
        <v>346</v>
      </c>
      <c r="B38" s="385"/>
      <c r="C38" s="385"/>
      <c r="D38" s="385"/>
      <c r="E38" s="385"/>
      <c r="F38" s="385"/>
      <c r="G38" s="15">
        <v>157</v>
      </c>
      <c r="H38" s="16"/>
      <c r="I38" s="67">
        <v>0</v>
      </c>
      <c r="J38" s="67">
        <v>0</v>
      </c>
    </row>
    <row r="39" spans="1:10" s="2" customFormat="1" ht="24" customHeight="1">
      <c r="A39" s="385" t="s">
        <v>2361</v>
      </c>
      <c r="B39" s="385"/>
      <c r="C39" s="385"/>
      <c r="D39" s="385"/>
      <c r="E39" s="385"/>
      <c r="F39" s="385"/>
      <c r="G39" s="15">
        <v>158</v>
      </c>
      <c r="H39" s="16"/>
      <c r="I39" s="67">
        <v>0</v>
      </c>
      <c r="J39" s="67">
        <v>0</v>
      </c>
    </row>
    <row r="40" spans="1:10" s="2" customFormat="1" ht="24" customHeight="1">
      <c r="A40" s="385" t="s">
        <v>345</v>
      </c>
      <c r="B40" s="385"/>
      <c r="C40" s="385"/>
      <c r="D40" s="385"/>
      <c r="E40" s="385"/>
      <c r="F40" s="385"/>
      <c r="G40" s="15">
        <v>159</v>
      </c>
      <c r="H40" s="16"/>
      <c r="I40" s="67">
        <v>0</v>
      </c>
      <c r="J40" s="67">
        <v>0</v>
      </c>
    </row>
    <row r="41" spans="1:10" s="2" customFormat="1" ht="14.25" customHeight="1">
      <c r="A41" s="385" t="s">
        <v>2964</v>
      </c>
      <c r="B41" s="385"/>
      <c r="C41" s="385"/>
      <c r="D41" s="385"/>
      <c r="E41" s="385"/>
      <c r="F41" s="385"/>
      <c r="G41" s="15">
        <v>160</v>
      </c>
      <c r="H41" s="16"/>
      <c r="I41" s="67">
        <v>0</v>
      </c>
      <c r="J41" s="67">
        <v>0</v>
      </c>
    </row>
    <row r="42" spans="1:10" s="2" customFormat="1" ht="24" customHeight="1">
      <c r="A42" s="385" t="s">
        <v>2362</v>
      </c>
      <c r="B42" s="385"/>
      <c r="C42" s="385"/>
      <c r="D42" s="385"/>
      <c r="E42" s="385"/>
      <c r="F42" s="385"/>
      <c r="G42" s="15">
        <v>161</v>
      </c>
      <c r="H42" s="16"/>
      <c r="I42" s="67">
        <v>0</v>
      </c>
      <c r="J42" s="67">
        <v>0</v>
      </c>
    </row>
    <row r="43" spans="1:10" s="2" customFormat="1" ht="14.25" customHeight="1">
      <c r="A43" s="385" t="s">
        <v>2963</v>
      </c>
      <c r="B43" s="385"/>
      <c r="C43" s="385"/>
      <c r="D43" s="385"/>
      <c r="E43" s="385"/>
      <c r="F43" s="385"/>
      <c r="G43" s="15">
        <v>162</v>
      </c>
      <c r="H43" s="16"/>
      <c r="I43" s="67">
        <v>0</v>
      </c>
      <c r="J43" s="67">
        <v>0</v>
      </c>
    </row>
    <row r="44" spans="1:10" s="2" customFormat="1" ht="14.25" customHeight="1">
      <c r="A44" s="385" t="s">
        <v>2962</v>
      </c>
      <c r="B44" s="385"/>
      <c r="C44" s="385"/>
      <c r="D44" s="385"/>
      <c r="E44" s="385"/>
      <c r="F44" s="385"/>
      <c r="G44" s="15">
        <v>163</v>
      </c>
      <c r="H44" s="16"/>
      <c r="I44" s="67">
        <v>839691</v>
      </c>
      <c r="J44" s="67">
        <v>1496444</v>
      </c>
    </row>
    <row r="45" spans="1:10" s="2" customFormat="1" ht="14.25" customHeight="1">
      <c r="A45" s="385" t="s">
        <v>2961</v>
      </c>
      <c r="B45" s="385"/>
      <c r="C45" s="385"/>
      <c r="D45" s="385"/>
      <c r="E45" s="385"/>
      <c r="F45" s="385"/>
      <c r="G45" s="15">
        <v>164</v>
      </c>
      <c r="H45" s="16"/>
      <c r="I45" s="67">
        <v>29020</v>
      </c>
      <c r="J45" s="67">
        <v>6275</v>
      </c>
    </row>
    <row r="46" spans="1:10" s="2" customFormat="1" ht="14.25" customHeight="1">
      <c r="A46" s="385" t="s">
        <v>2960</v>
      </c>
      <c r="B46" s="385"/>
      <c r="C46" s="385"/>
      <c r="D46" s="385"/>
      <c r="E46" s="385"/>
      <c r="F46" s="385"/>
      <c r="G46" s="15">
        <v>165</v>
      </c>
      <c r="H46" s="16"/>
      <c r="I46" s="67">
        <v>0</v>
      </c>
      <c r="J46" s="67">
        <v>0</v>
      </c>
    </row>
    <row r="47" spans="1:10" s="2" customFormat="1" ht="14.25" customHeight="1">
      <c r="A47" s="385" t="s">
        <v>2956</v>
      </c>
      <c r="B47" s="385"/>
      <c r="C47" s="385"/>
      <c r="D47" s="385"/>
      <c r="E47" s="385"/>
      <c r="F47" s="385"/>
      <c r="G47" s="15">
        <v>166</v>
      </c>
      <c r="H47" s="16"/>
      <c r="I47" s="67">
        <v>0</v>
      </c>
      <c r="J47" s="67">
        <v>84940</v>
      </c>
    </row>
    <row r="48" spans="1:10" s="2" customFormat="1" ht="14.25" customHeight="1">
      <c r="A48" s="387" t="s">
        <v>2498</v>
      </c>
      <c r="B48" s="387"/>
      <c r="C48" s="387"/>
      <c r="D48" s="387"/>
      <c r="E48" s="387"/>
      <c r="F48" s="387"/>
      <c r="G48" s="15">
        <v>167</v>
      </c>
      <c r="H48" s="16"/>
      <c r="I48" s="66">
        <f>SUM(I49:I55)</f>
        <v>2119945</v>
      </c>
      <c r="J48" s="66">
        <f>SUM(J49:J55)</f>
        <v>2690863</v>
      </c>
    </row>
    <row r="49" spans="1:10" s="2" customFormat="1" ht="14.25" customHeight="1">
      <c r="A49" s="385" t="s">
        <v>2957</v>
      </c>
      <c r="B49" s="385"/>
      <c r="C49" s="385"/>
      <c r="D49" s="385"/>
      <c r="E49" s="385"/>
      <c r="F49" s="385"/>
      <c r="G49" s="15">
        <v>168</v>
      </c>
      <c r="H49" s="16"/>
      <c r="I49" s="67">
        <v>0</v>
      </c>
      <c r="J49" s="67">
        <v>0</v>
      </c>
    </row>
    <row r="50" spans="1:10" s="2" customFormat="1" ht="14.25" customHeight="1">
      <c r="A50" s="413" t="s">
        <v>1088</v>
      </c>
      <c r="B50" s="413"/>
      <c r="C50" s="413"/>
      <c r="D50" s="413"/>
      <c r="E50" s="413"/>
      <c r="F50" s="413"/>
      <c r="G50" s="15">
        <v>169</v>
      </c>
      <c r="H50" s="16"/>
      <c r="I50" s="67">
        <v>0</v>
      </c>
      <c r="J50" s="67">
        <v>0</v>
      </c>
    </row>
    <row r="51" spans="1:10" s="2" customFormat="1" ht="14.25" customHeight="1">
      <c r="A51" s="413" t="s">
        <v>1089</v>
      </c>
      <c r="B51" s="413"/>
      <c r="C51" s="413"/>
      <c r="D51" s="413"/>
      <c r="E51" s="413"/>
      <c r="F51" s="413"/>
      <c r="G51" s="15">
        <v>170</v>
      </c>
      <c r="H51" s="16"/>
      <c r="I51" s="67">
        <v>2119165</v>
      </c>
      <c r="J51" s="67">
        <v>2673397</v>
      </c>
    </row>
    <row r="52" spans="1:10" s="2" customFormat="1" ht="14.25" customHeight="1">
      <c r="A52" s="413" t="s">
        <v>1090</v>
      </c>
      <c r="B52" s="413"/>
      <c r="C52" s="413"/>
      <c r="D52" s="413"/>
      <c r="E52" s="413"/>
      <c r="F52" s="413"/>
      <c r="G52" s="15">
        <v>171</v>
      </c>
      <c r="H52" s="16"/>
      <c r="I52" s="67">
        <v>780</v>
      </c>
      <c r="J52" s="67">
        <v>17466</v>
      </c>
    </row>
    <row r="53" spans="1:10" s="2" customFormat="1" ht="14.25" customHeight="1">
      <c r="A53" s="413" t="s">
        <v>1091</v>
      </c>
      <c r="B53" s="413"/>
      <c r="C53" s="413"/>
      <c r="D53" s="413"/>
      <c r="E53" s="413"/>
      <c r="F53" s="413"/>
      <c r="G53" s="15">
        <v>172</v>
      </c>
      <c r="H53" s="16"/>
      <c r="I53" s="67">
        <v>0</v>
      </c>
      <c r="J53" s="67">
        <v>0</v>
      </c>
    </row>
    <row r="54" spans="1:12" s="2" customFormat="1" ht="14.25" customHeight="1">
      <c r="A54" s="413" t="s">
        <v>1092</v>
      </c>
      <c r="B54" s="413"/>
      <c r="C54" s="413"/>
      <c r="D54" s="413"/>
      <c r="E54" s="413"/>
      <c r="F54" s="413"/>
      <c r="G54" s="15">
        <v>173</v>
      </c>
      <c r="H54" s="16"/>
      <c r="I54" s="67">
        <v>0</v>
      </c>
      <c r="J54" s="67">
        <v>0</v>
      </c>
      <c r="L54" s="2" t="s">
        <v>1209</v>
      </c>
    </row>
    <row r="55" spans="1:10" s="2" customFormat="1" ht="14.25" customHeight="1">
      <c r="A55" s="413" t="s">
        <v>1093</v>
      </c>
      <c r="B55" s="413"/>
      <c r="C55" s="413"/>
      <c r="D55" s="413"/>
      <c r="E55" s="413"/>
      <c r="F55" s="413"/>
      <c r="G55" s="15">
        <v>174</v>
      </c>
      <c r="H55" s="16"/>
      <c r="I55" s="67">
        <v>0</v>
      </c>
      <c r="J55" s="67">
        <v>0</v>
      </c>
    </row>
    <row r="56" spans="1:10" s="2" customFormat="1" ht="24.75" customHeight="1">
      <c r="A56" s="387" t="s">
        <v>2363</v>
      </c>
      <c r="B56" s="387"/>
      <c r="C56" s="387"/>
      <c r="D56" s="387"/>
      <c r="E56" s="387"/>
      <c r="F56" s="387"/>
      <c r="G56" s="15">
        <v>175</v>
      </c>
      <c r="H56" s="16"/>
      <c r="I56" s="67">
        <v>0</v>
      </c>
      <c r="J56" s="67">
        <v>0</v>
      </c>
    </row>
    <row r="57" spans="1:10" s="2" customFormat="1" ht="14.25" customHeight="1">
      <c r="A57" s="387" t="s">
        <v>1094</v>
      </c>
      <c r="B57" s="387"/>
      <c r="C57" s="387"/>
      <c r="D57" s="387"/>
      <c r="E57" s="387"/>
      <c r="F57" s="387"/>
      <c r="G57" s="15">
        <v>176</v>
      </c>
      <c r="H57" s="16"/>
      <c r="I57" s="67">
        <v>0</v>
      </c>
      <c r="J57" s="67">
        <v>0</v>
      </c>
    </row>
    <row r="58" spans="1:10" s="2" customFormat="1" ht="24.75" customHeight="1">
      <c r="A58" s="387" t="s">
        <v>1095</v>
      </c>
      <c r="B58" s="387"/>
      <c r="C58" s="387"/>
      <c r="D58" s="387"/>
      <c r="E58" s="387"/>
      <c r="F58" s="387"/>
      <c r="G58" s="15">
        <v>177</v>
      </c>
      <c r="H58" s="16"/>
      <c r="I58" s="67">
        <v>0</v>
      </c>
      <c r="J58" s="67">
        <v>0</v>
      </c>
    </row>
    <row r="59" spans="1:10" s="2" customFormat="1" ht="14.25" customHeight="1">
      <c r="A59" s="387" t="s">
        <v>1096</v>
      </c>
      <c r="B59" s="387"/>
      <c r="C59" s="387"/>
      <c r="D59" s="387"/>
      <c r="E59" s="387"/>
      <c r="F59" s="387"/>
      <c r="G59" s="15">
        <v>178</v>
      </c>
      <c r="H59" s="16"/>
      <c r="I59" s="67">
        <v>0</v>
      </c>
      <c r="J59" s="67">
        <v>0</v>
      </c>
    </row>
    <row r="60" spans="1:10" s="2" customFormat="1" ht="14.25" customHeight="1">
      <c r="A60" s="387" t="s">
        <v>2499</v>
      </c>
      <c r="B60" s="387"/>
      <c r="C60" s="387"/>
      <c r="D60" s="387"/>
      <c r="E60" s="387"/>
      <c r="F60" s="387"/>
      <c r="G60" s="15">
        <v>179</v>
      </c>
      <c r="H60" s="16"/>
      <c r="I60" s="66">
        <f>I8+I37+I56+I57</f>
        <v>55025490</v>
      </c>
      <c r="J60" s="66">
        <f>J8+J37+J56+J57</f>
        <v>83754525</v>
      </c>
    </row>
    <row r="61" spans="1:10" s="2" customFormat="1" ht="14.25" customHeight="1">
      <c r="A61" s="387" t="s">
        <v>2500</v>
      </c>
      <c r="B61" s="387"/>
      <c r="C61" s="387"/>
      <c r="D61" s="387"/>
      <c r="E61" s="387"/>
      <c r="F61" s="387"/>
      <c r="G61" s="15">
        <v>180</v>
      </c>
      <c r="H61" s="16"/>
      <c r="I61" s="66">
        <f>I14+I48+I58+I59</f>
        <v>48760145</v>
      </c>
      <c r="J61" s="66">
        <f>J14+J48+J58+J59</f>
        <v>67668253</v>
      </c>
    </row>
    <row r="62" spans="1:12" s="2" customFormat="1" ht="14.25" customHeight="1">
      <c r="A62" s="387" t="s">
        <v>2501</v>
      </c>
      <c r="B62" s="387"/>
      <c r="C62" s="387"/>
      <c r="D62" s="387"/>
      <c r="E62" s="387"/>
      <c r="F62" s="387"/>
      <c r="G62" s="15">
        <v>181</v>
      </c>
      <c r="H62" s="16"/>
      <c r="I62" s="66">
        <f>I60-I61</f>
        <v>6265345</v>
      </c>
      <c r="J62" s="66">
        <f>J60-J61</f>
        <v>16086272</v>
      </c>
      <c r="L62" s="2" t="s">
        <v>1209</v>
      </c>
    </row>
    <row r="63" spans="1:10" s="2" customFormat="1" ht="14.25" customHeight="1">
      <c r="A63" s="413" t="s">
        <v>2502</v>
      </c>
      <c r="B63" s="413"/>
      <c r="C63" s="413"/>
      <c r="D63" s="413"/>
      <c r="E63" s="413"/>
      <c r="F63" s="413"/>
      <c r="G63" s="15">
        <v>182</v>
      </c>
      <c r="H63" s="16"/>
      <c r="I63" s="66">
        <f>IF(I60&gt;I61,I60-I61,0)</f>
        <v>6265345</v>
      </c>
      <c r="J63" s="66">
        <f>IF(J60&gt;J61,J60-J61,0)</f>
        <v>16086272</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c r="I65" s="67">
        <v>1170129</v>
      </c>
      <c r="J65" s="67">
        <v>2980305</v>
      </c>
      <c r="L65" s="2" t="s">
        <v>1209</v>
      </c>
    </row>
    <row r="66" spans="1:12" s="2" customFormat="1" ht="14.25" customHeight="1">
      <c r="A66" s="387" t="s">
        <v>2504</v>
      </c>
      <c r="B66" s="387"/>
      <c r="C66" s="387"/>
      <c r="D66" s="387"/>
      <c r="E66" s="387"/>
      <c r="F66" s="387"/>
      <c r="G66" s="15">
        <v>185</v>
      </c>
      <c r="H66" s="16"/>
      <c r="I66" s="66">
        <f>I62-I65</f>
        <v>5095216</v>
      </c>
      <c r="J66" s="66">
        <f>J62-J65</f>
        <v>13105967</v>
      </c>
      <c r="L66" s="2" t="s">
        <v>1209</v>
      </c>
    </row>
    <row r="67" spans="1:10" s="2" customFormat="1" ht="14.25" customHeight="1">
      <c r="A67" s="413" t="s">
        <v>2505</v>
      </c>
      <c r="B67" s="413"/>
      <c r="C67" s="413"/>
      <c r="D67" s="413"/>
      <c r="E67" s="413"/>
      <c r="F67" s="413"/>
      <c r="G67" s="15">
        <v>186</v>
      </c>
      <c r="H67" s="16"/>
      <c r="I67" s="66">
        <f>IF(I66&gt;0,I66,0)</f>
        <v>5095216</v>
      </c>
      <c r="J67" s="66">
        <f>IF(J66&gt;0,J66,0)</f>
        <v>13105967</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14" t="s">
        <v>1506</v>
      </c>
      <c r="B88" s="414"/>
      <c r="C88" s="414"/>
      <c r="D88" s="414"/>
      <c r="E88" s="414"/>
      <c r="F88" s="414"/>
      <c r="G88" s="415"/>
      <c r="H88" s="415"/>
      <c r="I88" s="415"/>
      <c r="J88" s="415"/>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18:F18"/>
    <mergeCell ref="A19:F19"/>
    <mergeCell ref="A26:F26"/>
    <mergeCell ref="A27:F27"/>
    <mergeCell ref="A29:F29"/>
    <mergeCell ref="A36:F36"/>
    <mergeCell ref="A34:F34"/>
    <mergeCell ref="A25:F25"/>
    <mergeCell ref="A5:J5"/>
    <mergeCell ref="A6:F6"/>
    <mergeCell ref="A2:I2"/>
    <mergeCell ref="A3:I3"/>
    <mergeCell ref="J2:J3"/>
    <mergeCell ref="A31:F31"/>
    <mergeCell ref="A16:F16"/>
    <mergeCell ref="A23:F23"/>
    <mergeCell ref="A24:F24"/>
    <mergeCell ref="A15:F15"/>
    <mergeCell ref="A41:F41"/>
    <mergeCell ref="A28:F28"/>
    <mergeCell ref="A30:F30"/>
    <mergeCell ref="A33:F33"/>
    <mergeCell ref="A42:F42"/>
    <mergeCell ref="A32:F32"/>
    <mergeCell ref="A48:F48"/>
    <mergeCell ref="A46:F46"/>
    <mergeCell ref="A47:F47"/>
    <mergeCell ref="A49:F49"/>
    <mergeCell ref="A38:F38"/>
    <mergeCell ref="A35:F35"/>
    <mergeCell ref="A45:F45"/>
    <mergeCell ref="A43:F43"/>
    <mergeCell ref="A44:F44"/>
    <mergeCell ref="A37:F37"/>
    <mergeCell ref="A102:F102"/>
    <mergeCell ref="A87:F87"/>
    <mergeCell ref="A50:F50"/>
    <mergeCell ref="A51:F51"/>
    <mergeCell ref="A57:F57"/>
    <mergeCell ref="A56:F56"/>
    <mergeCell ref="A61:F61"/>
    <mergeCell ref="A88:J88"/>
    <mergeCell ref="A71:F71"/>
    <mergeCell ref="A55:F55"/>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I14" sqref="I14:J14"/>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47" t="s">
        <v>821</v>
      </c>
      <c r="B2" s="448"/>
      <c r="C2" s="448"/>
      <c r="D2" s="448"/>
      <c r="E2" s="448"/>
      <c r="F2" s="448"/>
      <c r="G2" s="448"/>
      <c r="H2" s="448"/>
      <c r="I2" s="449"/>
      <c r="J2" s="389" t="s">
        <v>1211</v>
      </c>
      <c r="Q2" s="70">
        <f>IF(MAX(I9:I88)&gt;0,1,0)</f>
        <v>0</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0</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83938812619; RIJEKA PLUS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c r="J26" s="73"/>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c r="J37" s="90"/>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c r="J50" s="73"/>
    </row>
    <row r="51" spans="1:10" s="2" customFormat="1" ht="24.75" customHeight="1">
      <c r="A51" s="413" t="s">
        <v>2106</v>
      </c>
      <c r="B51" s="413"/>
      <c r="C51" s="413"/>
      <c r="D51" s="413"/>
      <c r="E51" s="413"/>
      <c r="F51" s="413"/>
      <c r="G51" s="426"/>
      <c r="H51" s="15">
        <v>263</v>
      </c>
      <c r="I51" s="73"/>
      <c r="J51" s="73"/>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c r="J55" s="73"/>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c r="J60" s="73"/>
    </row>
    <row r="61" spans="1:10" s="2" customFormat="1" ht="13.5" customHeight="1">
      <c r="A61" s="433" t="s">
        <v>645</v>
      </c>
      <c r="B61" s="433"/>
      <c r="C61" s="433"/>
      <c r="D61" s="433"/>
      <c r="E61" s="433"/>
      <c r="F61" s="433"/>
      <c r="G61" s="434"/>
      <c r="H61" s="15">
        <v>273</v>
      </c>
      <c r="I61" s="73"/>
      <c r="J61" s="73"/>
    </row>
    <row r="62" spans="1:10" s="2" customFormat="1" ht="13.5" customHeight="1">
      <c r="A62" s="413" t="s">
        <v>2820</v>
      </c>
      <c r="B62" s="413"/>
      <c r="C62" s="413"/>
      <c r="D62" s="413"/>
      <c r="E62" s="413"/>
      <c r="F62" s="413"/>
      <c r="G62" s="426"/>
      <c r="H62" s="15">
        <v>274</v>
      </c>
      <c r="I62" s="73"/>
      <c r="J62" s="73"/>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c r="J65" s="73"/>
    </row>
    <row r="66" spans="1:10" s="2" customFormat="1" ht="13.5" customHeight="1">
      <c r="A66" s="433" t="s">
        <v>2658</v>
      </c>
      <c r="B66" s="433"/>
      <c r="C66" s="433"/>
      <c r="D66" s="433"/>
      <c r="E66" s="433"/>
      <c r="F66" s="433"/>
      <c r="G66" s="434"/>
      <c r="H66" s="15">
        <v>278</v>
      </c>
      <c r="I66" s="73"/>
      <c r="J66" s="73"/>
    </row>
    <row r="67" spans="1:10" s="2" customFormat="1" ht="24.75" customHeight="1">
      <c r="A67" s="413" t="s">
        <v>2107</v>
      </c>
      <c r="B67" s="413"/>
      <c r="C67" s="413"/>
      <c r="D67" s="413"/>
      <c r="E67" s="413"/>
      <c r="F67" s="413"/>
      <c r="G67" s="426"/>
      <c r="H67" s="15">
        <v>279</v>
      </c>
      <c r="I67" s="73">
        <v>0</v>
      </c>
      <c r="J67" s="73"/>
    </row>
    <row r="68" spans="1:10" s="2" customFormat="1" ht="13.5" customHeight="1">
      <c r="A68" s="413" t="s">
        <v>648</v>
      </c>
      <c r="B68" s="413"/>
      <c r="C68" s="413"/>
      <c r="D68" s="413"/>
      <c r="E68" s="413"/>
      <c r="F68" s="413"/>
      <c r="G68" s="426"/>
      <c r="H68" s="15">
        <v>280</v>
      </c>
      <c r="I68" s="73">
        <v>0</v>
      </c>
      <c r="J68" s="73"/>
    </row>
    <row r="69" spans="1:10" s="2" customFormat="1" ht="13.5" customHeight="1">
      <c r="A69" s="413" t="s">
        <v>647</v>
      </c>
      <c r="B69" s="413"/>
      <c r="C69" s="413"/>
      <c r="D69" s="413"/>
      <c r="E69" s="413"/>
      <c r="F69" s="413"/>
      <c r="G69" s="426"/>
      <c r="H69" s="15">
        <v>281</v>
      </c>
      <c r="I69" s="73">
        <v>0</v>
      </c>
      <c r="J69" s="73"/>
    </row>
    <row r="70" spans="1:10" s="2" customFormat="1" ht="24.75" customHeight="1">
      <c r="A70" s="413" t="s">
        <v>646</v>
      </c>
      <c r="B70" s="413"/>
      <c r="C70" s="413"/>
      <c r="D70" s="413"/>
      <c r="E70" s="413"/>
      <c r="F70" s="413"/>
      <c r="G70" s="426"/>
      <c r="H70" s="15">
        <v>282</v>
      </c>
      <c r="I70" s="73">
        <v>0</v>
      </c>
      <c r="J70" s="73"/>
    </row>
    <row r="71" spans="1:10" s="2" customFormat="1" ht="13.5" customHeight="1">
      <c r="A71" s="425" t="s">
        <v>2055</v>
      </c>
      <c r="B71" s="425"/>
      <c r="C71" s="425"/>
      <c r="D71" s="425"/>
      <c r="E71" s="425"/>
      <c r="F71" s="425"/>
      <c r="G71" s="432"/>
      <c r="H71" s="17">
        <v>283</v>
      </c>
      <c r="I71" s="74">
        <v>0</v>
      </c>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c r="J73" s="90"/>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c r="J76" s="74"/>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0</v>
      </c>
      <c r="J78" s="220">
        <f>SUM(J79:J82)</f>
        <v>0</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c r="J80" s="73"/>
    </row>
    <row r="81" spans="1:10" s="2" customFormat="1" ht="13.5" customHeight="1">
      <c r="A81" s="413" t="s">
        <v>201</v>
      </c>
      <c r="B81" s="413"/>
      <c r="C81" s="413"/>
      <c r="D81" s="413"/>
      <c r="E81" s="413"/>
      <c r="F81" s="413"/>
      <c r="G81" s="426"/>
      <c r="H81" s="15">
        <v>291</v>
      </c>
      <c r="I81" s="73"/>
      <c r="J81" s="73"/>
    </row>
    <row r="82" spans="1:10" s="2" customFormat="1" ht="36" customHeight="1">
      <c r="A82" s="413" t="s">
        <v>204</v>
      </c>
      <c r="B82" s="413"/>
      <c r="C82" s="413"/>
      <c r="D82" s="413"/>
      <c r="E82" s="413"/>
      <c r="F82" s="413"/>
      <c r="G82" s="426"/>
      <c r="H82" s="15">
        <v>292</v>
      </c>
      <c r="I82" s="73"/>
      <c r="J82" s="73"/>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c r="J84" s="73"/>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3" activePane="bottomLeft" state="frozen"/>
      <selection pane="topLeft" activeCell="A1" sqref="A1"/>
      <selection pane="bottomLeft" activeCell="J28" sqref="J28"/>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1</v>
      </c>
      <c r="R1" s="69" t="s">
        <v>792</v>
      </c>
    </row>
    <row r="2" spans="1:18" s="2" customFormat="1" ht="19.5" customHeight="1">
      <c r="A2" s="447" t="s">
        <v>1102</v>
      </c>
      <c r="B2" s="448"/>
      <c r="C2" s="448"/>
      <c r="D2" s="448"/>
      <c r="E2" s="448"/>
      <c r="F2" s="448"/>
      <c r="G2" s="448"/>
      <c r="H2" s="448"/>
      <c r="I2" s="453"/>
      <c r="J2" s="389" t="s">
        <v>1212</v>
      </c>
      <c r="Q2" s="70">
        <f>IF(OR(MIN(I8:I60)&lt;0,MAX(I8:I60)&gt;0),1,0)</f>
        <v>1</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1</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83938812619; RIJEKA PLUS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v>6265345</v>
      </c>
      <c r="J9" s="138">
        <v>16086272</v>
      </c>
    </row>
    <row r="10" spans="1:10" s="2" customFormat="1" ht="13.5" customHeight="1">
      <c r="A10" s="413" t="s">
        <v>71</v>
      </c>
      <c r="B10" s="413"/>
      <c r="C10" s="413"/>
      <c r="D10" s="413"/>
      <c r="E10" s="413"/>
      <c r="F10" s="413"/>
      <c r="G10" s="15">
        <v>2</v>
      </c>
      <c r="H10" s="19"/>
      <c r="I10" s="121">
        <f>SUM(I11:I18)</f>
        <v>7350671</v>
      </c>
      <c r="J10" s="121">
        <f>SUM(J11:J18)</f>
        <v>-2395983</v>
      </c>
    </row>
    <row r="11" spans="1:12" s="2" customFormat="1" ht="13.5" customHeight="1">
      <c r="A11" s="433" t="s">
        <v>1543</v>
      </c>
      <c r="B11" s="433"/>
      <c r="C11" s="433"/>
      <c r="D11" s="433"/>
      <c r="E11" s="433"/>
      <c r="F11" s="433"/>
      <c r="G11" s="15">
        <v>3</v>
      </c>
      <c r="H11" s="19"/>
      <c r="I11" s="122">
        <v>5674517</v>
      </c>
      <c r="J11" s="122">
        <v>5786866</v>
      </c>
      <c r="L11" s="2" t="s">
        <v>2525</v>
      </c>
    </row>
    <row r="12" spans="1:10" s="2" customFormat="1" ht="24.75" customHeight="1">
      <c r="A12" s="433" t="s">
        <v>2441</v>
      </c>
      <c r="B12" s="433"/>
      <c r="C12" s="433"/>
      <c r="D12" s="433"/>
      <c r="E12" s="433"/>
      <c r="F12" s="433"/>
      <c r="G12" s="15">
        <v>4</v>
      </c>
      <c r="H12" s="19"/>
      <c r="I12" s="122">
        <v>-46758</v>
      </c>
      <c r="J12" s="122">
        <v>-10811649</v>
      </c>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v>-868711</v>
      </c>
      <c r="J14" s="122">
        <v>-1496444</v>
      </c>
      <c r="L14" s="2" t="s">
        <v>1209</v>
      </c>
    </row>
    <row r="15" spans="1:12" s="2" customFormat="1" ht="13.5" customHeight="1">
      <c r="A15" s="433" t="s">
        <v>1545</v>
      </c>
      <c r="B15" s="433"/>
      <c r="C15" s="433"/>
      <c r="D15" s="433"/>
      <c r="E15" s="433"/>
      <c r="F15" s="433"/>
      <c r="G15" s="15">
        <v>7</v>
      </c>
      <c r="H15" s="19"/>
      <c r="I15" s="122">
        <v>2119165</v>
      </c>
      <c r="J15" s="122">
        <v>2673397</v>
      </c>
      <c r="L15" s="2" t="s">
        <v>2525</v>
      </c>
    </row>
    <row r="16" spans="1:10" s="2" customFormat="1" ht="13.5" customHeight="1">
      <c r="A16" s="433" t="s">
        <v>1546</v>
      </c>
      <c r="B16" s="433"/>
      <c r="C16" s="433"/>
      <c r="D16" s="433"/>
      <c r="E16" s="433"/>
      <c r="F16" s="433"/>
      <c r="G16" s="15">
        <v>8</v>
      </c>
      <c r="H16" s="19"/>
      <c r="I16" s="122">
        <v>86399</v>
      </c>
      <c r="J16" s="122">
        <v>424264</v>
      </c>
    </row>
    <row r="17" spans="1:10" s="2" customFormat="1" ht="13.5" customHeight="1">
      <c r="A17" s="433" t="s">
        <v>1547</v>
      </c>
      <c r="B17" s="433"/>
      <c r="C17" s="433"/>
      <c r="D17" s="433"/>
      <c r="E17" s="433"/>
      <c r="F17" s="433"/>
      <c r="G17" s="15">
        <v>9</v>
      </c>
      <c r="H17" s="19"/>
      <c r="I17" s="122">
        <v>-19867</v>
      </c>
      <c r="J17" s="122">
        <v>11192</v>
      </c>
    </row>
    <row r="18" spans="1:10" s="2" customFormat="1" ht="13.5" customHeight="1">
      <c r="A18" s="433" t="s">
        <v>2440</v>
      </c>
      <c r="B18" s="433"/>
      <c r="C18" s="433"/>
      <c r="D18" s="433"/>
      <c r="E18" s="433"/>
      <c r="F18" s="433"/>
      <c r="G18" s="15">
        <v>10</v>
      </c>
      <c r="H18" s="19"/>
      <c r="I18" s="122">
        <v>405926</v>
      </c>
      <c r="J18" s="122">
        <v>1016391</v>
      </c>
    </row>
    <row r="19" spans="1:14" s="2" customFormat="1" ht="24.75" customHeight="1">
      <c r="A19" s="408" t="s">
        <v>2439</v>
      </c>
      <c r="B19" s="408"/>
      <c r="C19" s="408"/>
      <c r="D19" s="408"/>
      <c r="E19" s="408"/>
      <c r="F19" s="408"/>
      <c r="G19" s="15">
        <v>11</v>
      </c>
      <c r="H19" s="19"/>
      <c r="I19" s="121">
        <f>I9+I10</f>
        <v>13616016</v>
      </c>
      <c r="J19" s="121">
        <f>J9+J10</f>
        <v>13690289</v>
      </c>
      <c r="N19" s="2">
        <f>IF(MIN(NT_I!I11:J11,NT_I!I15:J15,NT_I!I30:J36,NT_I!I59:J60)&lt;0,1,0)</f>
        <v>0</v>
      </c>
    </row>
    <row r="20" spans="1:10" s="2" customFormat="1" ht="13.5" customHeight="1">
      <c r="A20" s="413" t="s">
        <v>21</v>
      </c>
      <c r="B20" s="413"/>
      <c r="C20" s="413"/>
      <c r="D20" s="413"/>
      <c r="E20" s="413"/>
      <c r="F20" s="413"/>
      <c r="G20" s="15">
        <v>12</v>
      </c>
      <c r="H20" s="19"/>
      <c r="I20" s="121">
        <f>SUM(I21:I24)</f>
        <v>-7556398</v>
      </c>
      <c r="J20" s="121">
        <f>SUM(J21:J24)</f>
        <v>5475145</v>
      </c>
    </row>
    <row r="21" spans="1:10" s="2" customFormat="1" ht="13.5" customHeight="1">
      <c r="A21" s="433" t="s">
        <v>2353</v>
      </c>
      <c r="B21" s="433"/>
      <c r="C21" s="433"/>
      <c r="D21" s="433"/>
      <c r="E21" s="433"/>
      <c r="F21" s="433"/>
      <c r="G21" s="15">
        <v>13</v>
      </c>
      <c r="H21" s="19"/>
      <c r="I21" s="122">
        <v>-14319375</v>
      </c>
      <c r="J21" s="122">
        <v>1505035</v>
      </c>
    </row>
    <row r="22" spans="1:10" s="2" customFormat="1" ht="13.5" customHeight="1">
      <c r="A22" s="433" t="s">
        <v>2354</v>
      </c>
      <c r="B22" s="433"/>
      <c r="C22" s="433"/>
      <c r="D22" s="433"/>
      <c r="E22" s="433"/>
      <c r="F22" s="433"/>
      <c r="G22" s="15">
        <v>14</v>
      </c>
      <c r="H22" s="19"/>
      <c r="I22" s="122">
        <v>6740998</v>
      </c>
      <c r="J22" s="122">
        <v>3996672</v>
      </c>
    </row>
    <row r="23" spans="1:10" s="2" customFormat="1" ht="13.5" customHeight="1">
      <c r="A23" s="433" t="s">
        <v>2355</v>
      </c>
      <c r="B23" s="433"/>
      <c r="C23" s="433"/>
      <c r="D23" s="433"/>
      <c r="E23" s="433"/>
      <c r="F23" s="433"/>
      <c r="G23" s="15">
        <v>15</v>
      </c>
      <c r="H23" s="19"/>
      <c r="I23" s="122">
        <v>21979</v>
      </c>
      <c r="J23" s="122">
        <v>-26562</v>
      </c>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6059618</v>
      </c>
      <c r="J25" s="121">
        <f>J19+J20</f>
        <v>19165434</v>
      </c>
    </row>
    <row r="26" spans="1:12" s="2" customFormat="1" ht="13.5" customHeight="1">
      <c r="A26" s="413" t="s">
        <v>1787</v>
      </c>
      <c r="B26" s="413"/>
      <c r="C26" s="413"/>
      <c r="D26" s="413"/>
      <c r="E26" s="413"/>
      <c r="F26" s="413"/>
      <c r="G26" s="15">
        <v>18</v>
      </c>
      <c r="H26" s="19"/>
      <c r="I26" s="122">
        <v>-2119166</v>
      </c>
      <c r="J26" s="122">
        <v>-2450429</v>
      </c>
      <c r="L26" s="2" t="s">
        <v>1209</v>
      </c>
    </row>
    <row r="27" spans="1:10" s="2" customFormat="1" ht="13.5" customHeight="1">
      <c r="A27" s="413" t="s">
        <v>1788</v>
      </c>
      <c r="B27" s="413"/>
      <c r="C27" s="413"/>
      <c r="D27" s="413"/>
      <c r="E27" s="413"/>
      <c r="F27" s="413"/>
      <c r="G27" s="15">
        <v>19</v>
      </c>
      <c r="H27" s="19"/>
      <c r="I27" s="122">
        <v>-790876</v>
      </c>
      <c r="J27" s="122">
        <v>-560220</v>
      </c>
    </row>
    <row r="28" spans="1:10" s="2" customFormat="1" ht="13.5" customHeight="1">
      <c r="A28" s="459" t="s">
        <v>70</v>
      </c>
      <c r="B28" s="459"/>
      <c r="C28" s="459"/>
      <c r="D28" s="459"/>
      <c r="E28" s="459"/>
      <c r="F28" s="459"/>
      <c r="G28" s="17">
        <v>20</v>
      </c>
      <c r="H28" s="20"/>
      <c r="I28" s="123">
        <f>SUM(I25:I27)</f>
        <v>3149576</v>
      </c>
      <c r="J28" s="123">
        <f>SUM(J25:J27)</f>
        <v>16154785</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v>175213</v>
      </c>
      <c r="J30" s="90">
        <v>39172450</v>
      </c>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v>1690402</v>
      </c>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v>12023185</v>
      </c>
      <c r="L35" s="2" t="s">
        <v>2525</v>
      </c>
    </row>
    <row r="36" spans="1:12" s="2" customFormat="1" ht="13.5" customHeight="1">
      <c r="A36" s="408" t="s">
        <v>2935</v>
      </c>
      <c r="B36" s="408"/>
      <c r="C36" s="408"/>
      <c r="D36" s="408"/>
      <c r="E36" s="408"/>
      <c r="F36" s="408"/>
      <c r="G36" s="15">
        <v>27</v>
      </c>
      <c r="H36" s="19"/>
      <c r="I36" s="82">
        <f>SUM(I30:I35)</f>
        <v>175213</v>
      </c>
      <c r="J36" s="82">
        <f>SUM(J30:J35)</f>
        <v>52886037</v>
      </c>
      <c r="L36" s="2" t="s">
        <v>2525</v>
      </c>
    </row>
    <row r="37" spans="1:12" s="2" customFormat="1" ht="13.5" customHeight="1">
      <c r="A37" s="413" t="s">
        <v>66</v>
      </c>
      <c r="B37" s="413"/>
      <c r="C37" s="413"/>
      <c r="D37" s="413"/>
      <c r="E37" s="413"/>
      <c r="F37" s="413"/>
      <c r="G37" s="15">
        <v>28</v>
      </c>
      <c r="H37" s="19"/>
      <c r="I37" s="73">
        <v>-2261366</v>
      </c>
      <c r="J37" s="73">
        <v>-3182957</v>
      </c>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-2261366</v>
      </c>
      <c r="J42" s="82">
        <f>SUM(J37:J41)</f>
        <v>-3182957</v>
      </c>
      <c r="L42" s="2" t="s">
        <v>1209</v>
      </c>
    </row>
    <row r="43" spans="1:10" s="2" customFormat="1" ht="13.5" customHeight="1">
      <c r="A43" s="459" t="s">
        <v>2923</v>
      </c>
      <c r="B43" s="459"/>
      <c r="C43" s="459"/>
      <c r="D43" s="459"/>
      <c r="E43" s="459"/>
      <c r="F43" s="459"/>
      <c r="G43" s="17">
        <v>34</v>
      </c>
      <c r="H43" s="20"/>
      <c r="I43" s="83">
        <f>I36+I42</f>
        <v>-2086153</v>
      </c>
      <c r="J43" s="83">
        <f>J36+J42</f>
        <v>49703080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v>5229836</v>
      </c>
      <c r="J45" s="90">
        <v>4946166</v>
      </c>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v>353739</v>
      </c>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5229836</v>
      </c>
      <c r="J49" s="82">
        <f>SUM(J45:J48)</f>
        <v>5299905</v>
      </c>
      <c r="L49" s="2" t="s">
        <v>2525</v>
      </c>
    </row>
    <row r="50" spans="1:12" s="2" customFormat="1" ht="24.75" customHeight="1">
      <c r="A50" s="413" t="s">
        <v>2562</v>
      </c>
      <c r="B50" s="413"/>
      <c r="C50" s="413"/>
      <c r="D50" s="413"/>
      <c r="E50" s="413"/>
      <c r="F50" s="413"/>
      <c r="G50" s="15">
        <v>40</v>
      </c>
      <c r="H50" s="19"/>
      <c r="I50" s="73">
        <v>-7501559</v>
      </c>
      <c r="J50" s="73">
        <v>-23553912</v>
      </c>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-7501559</v>
      </c>
      <c r="J55" s="82">
        <f>SUM(J50:J54)</f>
        <v>-23553912</v>
      </c>
      <c r="L55" s="2" t="s">
        <v>1209</v>
      </c>
    </row>
    <row r="56" spans="1:10" s="2" customFormat="1" ht="13.5" customHeight="1">
      <c r="A56" s="410" t="s">
        <v>209</v>
      </c>
      <c r="B56" s="410"/>
      <c r="C56" s="410"/>
      <c r="D56" s="410"/>
      <c r="E56" s="410"/>
      <c r="F56" s="410"/>
      <c r="G56" s="15">
        <v>46</v>
      </c>
      <c r="H56" s="19"/>
      <c r="I56" s="82">
        <f>I49+I55</f>
        <v>-2271723</v>
      </c>
      <c r="J56" s="82">
        <f>J49+J55</f>
        <v>-18254007</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-1208300</v>
      </c>
      <c r="J58" s="82">
        <f>J28+J43+J56+J57</f>
        <v>47603858</v>
      </c>
    </row>
    <row r="59" spans="1:12" s="2" customFormat="1" ht="13.5" customHeight="1">
      <c r="A59" s="410" t="s">
        <v>2810</v>
      </c>
      <c r="B59" s="410"/>
      <c r="C59" s="410"/>
      <c r="D59" s="410"/>
      <c r="E59" s="410"/>
      <c r="F59" s="410"/>
      <c r="G59" s="15">
        <v>49</v>
      </c>
      <c r="H59" s="19"/>
      <c r="I59" s="73">
        <v>3016249</v>
      </c>
      <c r="J59" s="73">
        <v>1807949</v>
      </c>
      <c r="L59" s="2" t="s">
        <v>2525</v>
      </c>
    </row>
    <row r="60" spans="1:18" s="2" customFormat="1" ht="13.5" customHeight="1">
      <c r="A60" s="459" t="s">
        <v>2560</v>
      </c>
      <c r="B60" s="459"/>
      <c r="C60" s="459"/>
      <c r="D60" s="459"/>
      <c r="E60" s="459"/>
      <c r="F60" s="459"/>
      <c r="G60" s="17">
        <v>50</v>
      </c>
      <c r="H60" s="20"/>
      <c r="I60" s="83">
        <f>I59+I58</f>
        <v>1807949</v>
      </c>
      <c r="J60" s="83">
        <f>J59+J58</f>
        <v>49411807</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83938812619; RIJEKA PLUS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80" zoomScaleNormal="80" zoomScalePageLayoutView="0" workbookViewId="0" topLeftCell="A1">
      <pane ySplit="1" topLeftCell="A35" activePane="bottomLeft" state="frozen"/>
      <selection pane="topLeft" activeCell="A1" sqref="A1"/>
      <selection pane="bottomLeft" activeCell="J62" sqref="J62"/>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1</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1</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1</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83938812619; RIJEKA PLUS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v>30996500</v>
      </c>
      <c r="J10" s="21">
        <v>123</v>
      </c>
      <c r="K10" s="21"/>
      <c r="L10" s="21"/>
      <c r="M10" s="21"/>
      <c r="N10" s="21"/>
      <c r="O10" s="21"/>
      <c r="P10" s="21"/>
      <c r="Q10" s="21"/>
      <c r="R10" s="21"/>
      <c r="S10" s="21"/>
      <c r="T10" s="21"/>
      <c r="U10" s="21"/>
      <c r="V10" s="21">
        <v>20596881</v>
      </c>
      <c r="W10" s="21"/>
      <c r="X10" s="202">
        <f>SUM(I10:L10)-M10+SUM(N10:W10)</f>
        <v>51593504</v>
      </c>
      <c r="Y10" s="21"/>
      <c r="Z10" s="202">
        <f>Y10+X10</f>
        <v>51593504</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30996500</v>
      </c>
      <c r="J13" s="202">
        <f aca="true" t="shared" si="2" ref="J13:W13">SUM(J10:J12)</f>
        <v>123</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20596881</v>
      </c>
      <c r="W13" s="202">
        <f t="shared" si="2"/>
        <v>0</v>
      </c>
      <c r="X13" s="202">
        <f t="shared" si="0"/>
        <v>51593504</v>
      </c>
      <c r="Y13" s="202">
        <f>SUM(Y10:Y12)</f>
        <v>0</v>
      </c>
      <c r="Z13" s="202">
        <f t="shared" si="1"/>
        <v>51593504</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v>5095216</v>
      </c>
      <c r="X14" s="202">
        <f t="shared" si="0"/>
        <v>5095216</v>
      </c>
      <c r="Y14" s="21"/>
      <c r="Z14" s="202">
        <f t="shared" si="1"/>
        <v>5095216</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v>5229700</v>
      </c>
      <c r="J28" s="21">
        <v>136</v>
      </c>
      <c r="K28" s="21"/>
      <c r="L28" s="21"/>
      <c r="M28" s="21"/>
      <c r="N28" s="21"/>
      <c r="O28" s="21"/>
      <c r="P28" s="21"/>
      <c r="Q28" s="21"/>
      <c r="R28" s="21"/>
      <c r="S28" s="21"/>
      <c r="T28" s="21"/>
      <c r="U28" s="21"/>
      <c r="V28" s="21"/>
      <c r="W28" s="21"/>
      <c r="X28" s="202">
        <f>SUM(I28:L28)-M28+SUM(N28:W28)</f>
        <v>5229836</v>
      </c>
      <c r="Y28" s="21"/>
      <c r="Z28" s="202">
        <f>Y28+X28</f>
        <v>5229836</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36226200</v>
      </c>
      <c r="J33" s="201">
        <f aca="true" t="shared" si="3" ref="J33:W33">SUM(J13:J32)</f>
        <v>259</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20596881</v>
      </c>
      <c r="W33" s="201">
        <f t="shared" si="3"/>
        <v>5095216</v>
      </c>
      <c r="X33" s="201">
        <f t="shared" si="0"/>
        <v>61918556</v>
      </c>
      <c r="Y33" s="201">
        <f>SUM(Y13:Y32)</f>
        <v>0</v>
      </c>
      <c r="Z33" s="201">
        <f t="shared" si="1"/>
        <v>61918556</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v>36226200</v>
      </c>
      <c r="J39" s="21">
        <v>259</v>
      </c>
      <c r="K39" s="21"/>
      <c r="L39" s="21"/>
      <c r="M39" s="21"/>
      <c r="N39" s="21"/>
      <c r="O39" s="21"/>
      <c r="P39" s="21"/>
      <c r="Q39" s="21"/>
      <c r="R39" s="21"/>
      <c r="S39" s="21"/>
      <c r="T39" s="21"/>
      <c r="U39" s="21"/>
      <c r="V39" s="21">
        <v>25692097</v>
      </c>
      <c r="W39" s="21"/>
      <c r="X39" s="202">
        <f aca="true" t="shared" si="10" ref="X39:X62">SUM(I39:L39)-M39+SUM(N39:W39)</f>
        <v>61918556</v>
      </c>
      <c r="Y39" s="21"/>
      <c r="Z39" s="202">
        <f t="shared" si="1"/>
        <v>61918556</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36226200</v>
      </c>
      <c r="J42" s="202">
        <f t="shared" si="11"/>
        <v>259</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25692097</v>
      </c>
      <c r="W42" s="202">
        <f t="shared" si="11"/>
        <v>0</v>
      </c>
      <c r="X42" s="202">
        <f t="shared" si="10"/>
        <v>61918556</v>
      </c>
      <c r="Y42" s="202">
        <f>SUM(Y39:Y41)</f>
        <v>0</v>
      </c>
      <c r="Z42" s="202">
        <f>Y42+X42</f>
        <v>61918556</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v>13105967</v>
      </c>
      <c r="X43" s="202">
        <f t="shared" si="10"/>
        <v>13105967</v>
      </c>
      <c r="Y43" s="21"/>
      <c r="Z43" s="202">
        <f t="shared" si="1"/>
        <v>13105967</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v>11429129</v>
      </c>
      <c r="K51" s="21"/>
      <c r="L51" s="21"/>
      <c r="M51" s="21"/>
      <c r="N51" s="21"/>
      <c r="O51" s="21"/>
      <c r="P51" s="21"/>
      <c r="Q51" s="21"/>
      <c r="R51" s="21"/>
      <c r="S51" s="21"/>
      <c r="T51" s="21"/>
      <c r="U51" s="21"/>
      <c r="V51" s="21">
        <v>6483134</v>
      </c>
      <c r="W51" s="21"/>
      <c r="X51" s="202">
        <f t="shared" si="10"/>
        <v>17912263</v>
      </c>
      <c r="Y51" s="21"/>
      <c r="Z51" s="202">
        <f t="shared" si="1"/>
        <v>17912263</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v>9608500</v>
      </c>
      <c r="J57" s="21">
        <v>161</v>
      </c>
      <c r="K57" s="21"/>
      <c r="L57" s="21"/>
      <c r="M57" s="21"/>
      <c r="N57" s="21"/>
      <c r="O57" s="21"/>
      <c r="P57" s="21"/>
      <c r="Q57" s="21"/>
      <c r="R57" s="21"/>
      <c r="S57" s="21"/>
      <c r="T57" s="21"/>
      <c r="U57" s="21"/>
      <c r="V57" s="21"/>
      <c r="W57" s="21"/>
      <c r="X57" s="202">
        <f>SUM(I57:L57)-M57+SUM(N57:W57)</f>
        <v>9608661</v>
      </c>
      <c r="Y57" s="21"/>
      <c r="Z57" s="202">
        <f>Y57+X57</f>
        <v>9608661</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45834700</v>
      </c>
      <c r="J62" s="201">
        <f t="shared" si="12"/>
        <v>11429549</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32175231</v>
      </c>
      <c r="W62" s="201">
        <f t="shared" si="12"/>
        <v>13105967</v>
      </c>
      <c r="X62" s="201">
        <f t="shared" si="10"/>
        <v>102545447</v>
      </c>
      <c r="Y62" s="201">
        <f>SUM(Y42:Y61)</f>
        <v>0</v>
      </c>
      <c r="Z62" s="201">
        <f t="shared" si="1"/>
        <v>102545447</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Tubin Nataša</cp:lastModifiedBy>
  <cp:lastPrinted>2021-09-27T13:29:50Z</cp:lastPrinted>
  <dcterms:created xsi:type="dcterms:W3CDTF">2008-10-17T11:51:54Z</dcterms:created>
  <dcterms:modified xsi:type="dcterms:W3CDTF">2023-06-13T11:59:04Z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